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26" windowWidth="18825" windowHeight="11760" activeTab="0"/>
  </bookViews>
  <sheets>
    <sheet name="Normal Links" sheetId="1" r:id="rId1"/>
    <sheet name="Cell Ref Symbol" sheetId="2" r:id="rId2"/>
    <sheet name="Cell Ref Field" sheetId="3" r:id="rId3"/>
    <sheet name="Cell Ref Cell" sheetId="4" r:id="rId4"/>
    <sheet name="Fields - Syntax" sheetId="5" r:id="rId5"/>
    <sheet name="Historical Data - Syntax" sheetId="6" r:id="rId6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<sst xmlns="http://schemas.openxmlformats.org/spreadsheetml/2006/main" count="594" uniqueCount="477">
  <si>
    <t>Symbol</t>
  </si>
  <si>
    <t>Last</t>
  </si>
  <si>
    <t>Net Change</t>
  </si>
  <si>
    <t>% Change</t>
  </si>
  <si>
    <t>Volume</t>
  </si>
  <si>
    <t>Description</t>
  </si>
  <si>
    <t>Click to see Each Example in Action</t>
  </si>
  <si>
    <t>Fields Linked to Cell for Symbol</t>
  </si>
  <si>
    <t>Symbols Linked to Cell for Fields</t>
  </si>
  <si>
    <t>Cell Reference to a Cell Reference</t>
  </si>
  <si>
    <t>1)</t>
  </si>
  <si>
    <t>2)</t>
  </si>
  <si>
    <t>3)</t>
  </si>
  <si>
    <t>4)</t>
  </si>
  <si>
    <t>Normal Links Updating</t>
  </si>
  <si>
    <t>Ask</t>
  </si>
  <si>
    <t>BETA</t>
  </si>
  <si>
    <t>Bid</t>
  </si>
  <si>
    <t>CUSIP</t>
  </si>
  <si>
    <t>Date</t>
  </si>
  <si>
    <t>Dividend</t>
  </si>
  <si>
    <t>EPS</t>
  </si>
  <si>
    <t>ExtHours</t>
  </si>
  <si>
    <t>High</t>
  </si>
  <si>
    <t>Low</t>
  </si>
  <si>
    <t>Market Cap</t>
  </si>
  <si>
    <t>Open</t>
  </si>
  <si>
    <t>PE</t>
  </si>
  <si>
    <t>Shares</t>
  </si>
  <si>
    <t>Time</t>
  </si>
  <si>
    <t>Trade Size</t>
  </si>
  <si>
    <t>Symbol =</t>
  </si>
  <si>
    <t>In this example, Cells B10 and G10 control the symbol used in each Detail Quote Table</t>
  </si>
  <si>
    <t xml:space="preserve">Last: </t>
  </si>
  <si>
    <t xml:space="preserve">Net Change: </t>
  </si>
  <si>
    <t xml:space="preserve">Volume: </t>
  </si>
  <si>
    <t xml:space="preserve">Previous: </t>
  </si>
  <si>
    <t xml:space="preserve">Bid: </t>
  </si>
  <si>
    <t xml:space="preserve">Ask: </t>
  </si>
  <si>
    <t xml:space="preserve">High: </t>
  </si>
  <si>
    <t xml:space="preserve">Low: </t>
  </si>
  <si>
    <t xml:space="preserve">Open: </t>
  </si>
  <si>
    <t xml:space="preserve">Trade Size: </t>
  </si>
  <si>
    <t xml:space="preserve">52-Week High: </t>
  </si>
  <si>
    <t xml:space="preserve">52-Week Low: </t>
  </si>
  <si>
    <t xml:space="preserve">ExtHours: </t>
  </si>
  <si>
    <t xml:space="preserve">Date: </t>
  </si>
  <si>
    <t xml:space="preserve">Time: </t>
  </si>
  <si>
    <t xml:space="preserve">CUSIP: </t>
  </si>
  <si>
    <t xml:space="preserve">Trade Exch: </t>
  </si>
  <si>
    <t xml:space="preserve">Bid Exch: </t>
  </si>
  <si>
    <t xml:space="preserve">Ask Exch: </t>
  </si>
  <si>
    <t xml:space="preserve">% Change: </t>
  </si>
  <si>
    <t xml:space="preserve">EPS: </t>
  </si>
  <si>
    <t xml:space="preserve">PE: </t>
  </si>
  <si>
    <t xml:space="preserve">Market Cap: </t>
  </si>
  <si>
    <t xml:space="preserve">BETA: </t>
  </si>
  <si>
    <t xml:space="preserve">Shares: </t>
  </si>
  <si>
    <t xml:space="preserve">Dividend: </t>
  </si>
  <si>
    <t>MSFT</t>
  </si>
  <si>
    <t>CSCO</t>
  </si>
  <si>
    <t>DELL</t>
  </si>
  <si>
    <t>HAL</t>
  </si>
  <si>
    <t>CHK</t>
  </si>
  <si>
    <t>NOV</t>
  </si>
  <si>
    <t>Type in any symbol in the Blue Cells to make a change</t>
  </si>
  <si>
    <t>Type in any symbol or field in the Blue Cells to make a change</t>
  </si>
  <si>
    <t>change</t>
  </si>
  <si>
    <t>time</t>
  </si>
  <si>
    <t>Click For Main Page</t>
  </si>
  <si>
    <t>5)</t>
  </si>
  <si>
    <t>Fields &amp; Syntax</t>
  </si>
  <si>
    <t>You can create RTD Links directly inside Excel. You do not have to use the Copy/Paste Functionality inside Market-Q</t>
  </si>
  <si>
    <t>Follow the Syntax Rules of:</t>
  </si>
  <si>
    <t>=RTD("ESRTD",,"&lt;Symbol&gt;","&lt;"Field"&gt;)</t>
  </si>
  <si>
    <t>Valid field names that can be used within Excel are:</t>
  </si>
  <si>
    <t>Trade Exchange</t>
  </si>
  <si>
    <t>TradeExchange</t>
  </si>
  <si>
    <t>Bid Exchange</t>
  </si>
  <si>
    <t>BidExchange</t>
  </si>
  <si>
    <t>Ask Exchange</t>
  </si>
  <si>
    <t>AskExchange</t>
  </si>
  <si>
    <t>52wkhi</t>
  </si>
  <si>
    <t>52wklo</t>
  </si>
  <si>
    <t>Nav</t>
  </si>
  <si>
    <t>Basecode</t>
  </si>
  <si>
    <t>Close</t>
  </si>
  <si>
    <t>PrevPrice</t>
  </si>
  <si>
    <t>Open Interest</t>
  </si>
  <si>
    <t>OpenInt</t>
  </si>
  <si>
    <t>Expiration</t>
  </si>
  <si>
    <t>Yield</t>
  </si>
  <si>
    <t>Bid Size</t>
  </si>
  <si>
    <t>Ask Size</t>
  </si>
  <si>
    <t>TradeSize</t>
  </si>
  <si>
    <t>Last Trade Time</t>
  </si>
  <si>
    <t>Description2</t>
  </si>
  <si>
    <t>Strike</t>
  </si>
  <si>
    <t>Exchange</t>
  </si>
  <si>
    <t>Root</t>
  </si>
  <si>
    <t>Bid-Ask</t>
  </si>
  <si>
    <t>DTE</t>
  </si>
  <si>
    <t>Change</t>
  </si>
  <si>
    <t>Midpoint</t>
  </si>
  <si>
    <t>Annual Dividend</t>
  </si>
  <si>
    <t>Dividend Yield</t>
  </si>
  <si>
    <t>Minutes Delayed</t>
  </si>
  <si>
    <t>Headline Count</t>
  </si>
  <si>
    <t>Average Volume</t>
  </si>
  <si>
    <t>52wkhiDate</t>
  </si>
  <si>
    <t>52wkloDate</t>
  </si>
  <si>
    <t>XDivDate</t>
  </si>
  <si>
    <t>Currency</t>
  </si>
  <si>
    <t>Annual Revenue</t>
  </si>
  <si>
    <t>Revenue</t>
  </si>
  <si>
    <t>Dividend Interval</t>
  </si>
  <si>
    <t>DivInterval</t>
  </si>
  <si>
    <t>Underlying symbol</t>
  </si>
  <si>
    <t>Underlying</t>
  </si>
  <si>
    <t>Issue Description</t>
  </si>
  <si>
    <t>Tick</t>
  </si>
  <si>
    <t>LastChange</t>
  </si>
  <si>
    <t>BSizeXASize</t>
  </si>
  <si>
    <t>Watch List Column Description</t>
  </si>
  <si>
    <t>RTD Field Name</t>
  </si>
  <si>
    <t>**RTD Field Name Different From Watch List Field Name</t>
  </si>
  <si>
    <t>Last:</t>
  </si>
  <si>
    <t>Net Change:</t>
  </si>
  <si>
    <t>Volume:</t>
  </si>
  <si>
    <t>Previous:</t>
  </si>
  <si>
    <t>Bid:</t>
  </si>
  <si>
    <t>Ask:</t>
  </si>
  <si>
    <t>High:</t>
  </si>
  <si>
    <t>Low:</t>
  </si>
  <si>
    <t>Open:</t>
  </si>
  <si>
    <t>Trade Size:</t>
  </si>
  <si>
    <t>52-Week High:</t>
  </si>
  <si>
    <t>52-Week Low:</t>
  </si>
  <si>
    <t>ExtHours:</t>
  </si>
  <si>
    <t>Date:</t>
  </si>
  <si>
    <t>Time:</t>
  </si>
  <si>
    <t>CUSIP:</t>
  </si>
  <si>
    <t>Trade Exch:</t>
  </si>
  <si>
    <t>Bid Exch:</t>
  </si>
  <si>
    <t>Ask Exch:</t>
  </si>
  <si>
    <t>% Change:</t>
  </si>
  <si>
    <t>EPS:</t>
  </si>
  <si>
    <t>PE:</t>
  </si>
  <si>
    <t>Market Cap:</t>
  </si>
  <si>
    <t>BETA:</t>
  </si>
  <si>
    <t>Shares:</t>
  </si>
  <si>
    <t>Dividend:</t>
  </si>
  <si>
    <t>Symbol=</t>
  </si>
  <si>
    <t>msft</t>
  </si>
  <si>
    <t xml:space="preserve">In this example, the cells with Last, Change, %Change and Volume gets its symbol </t>
  </si>
  <si>
    <t>Type in any symbol or field in the Blue Cell B11 to make a change</t>
  </si>
  <si>
    <t>mmm</t>
  </si>
  <si>
    <t>PRD__52WkReturn1</t>
  </si>
  <si>
    <t>PRD__52WkReturn2</t>
  </si>
  <si>
    <t>PRD__52WkPrice</t>
  </si>
  <si>
    <t>PRD__52WkDividend</t>
  </si>
  <si>
    <t>CMPST_BOOKVAL</t>
  </si>
  <si>
    <t>PRD_DivAnnceDate</t>
  </si>
  <si>
    <t>PRD_PayDate</t>
  </si>
  <si>
    <t>PRD_ExDate</t>
  </si>
  <si>
    <t>PRD_RecordDate</t>
  </si>
  <si>
    <t>CMPST_Industry</t>
  </si>
  <si>
    <t>Industry</t>
  </si>
  <si>
    <t>PRD_MarginabilityCode</t>
  </si>
  <si>
    <t>Margin Code</t>
  </si>
  <si>
    <t>PRD_MonthEndPrice</t>
  </si>
  <si>
    <t>PRD_Price150</t>
  </si>
  <si>
    <t>PRD_Price200</t>
  </si>
  <si>
    <t>PRD_Price50</t>
  </si>
  <si>
    <t>PRD_MTDReturn1</t>
  </si>
  <si>
    <t>PRD_MTDReturn2</t>
  </si>
  <si>
    <t>PRD_MTDDividend</t>
  </si>
  <si>
    <t>PRD_QTDReturn1</t>
  </si>
  <si>
    <t>PRD_QTDReturn2</t>
  </si>
  <si>
    <t>PRD_QTDDividend</t>
  </si>
  <si>
    <t>PRD_QtrEndPrice</t>
  </si>
  <si>
    <t>CMPST_Sector</t>
  </si>
  <si>
    <t>Sector</t>
  </si>
  <si>
    <t>PRD_ShortInterest</t>
  </si>
  <si>
    <t>PRD_MonthSHINPercent</t>
  </si>
  <si>
    <t>PRD_MonthSHINChange</t>
  </si>
  <si>
    <t>PRD_Ratio</t>
  </si>
  <si>
    <t>PRD_YearSHINPercent</t>
  </si>
  <si>
    <t>PRD_YearSHINChange</t>
  </si>
  <si>
    <t>PRD_Volume90</t>
  </si>
  <si>
    <t>PRD_Volume10</t>
  </si>
  <si>
    <t>PRD_Volume25</t>
  </si>
  <si>
    <t>PRD_Volume50</t>
  </si>
  <si>
    <t>PRD_VolumeMonth</t>
  </si>
  <si>
    <t>PRD_YearEndPrice</t>
  </si>
  <si>
    <t>PRD_YTDReturn1</t>
  </si>
  <si>
    <t>PRD_YTDReturn2</t>
  </si>
  <si>
    <t>PRD_YTDDividend</t>
  </si>
  <si>
    <t>Option Type</t>
  </si>
  <si>
    <t>Flags</t>
  </si>
  <si>
    <t>OptionType</t>
  </si>
  <si>
    <t>StatusF</t>
  </si>
  <si>
    <t>Following the History Syntax Rules of:</t>
  </si>
  <si>
    <t>=RTD(“esrtd”,,”*H”,&lt;sym&gt;,&lt;fld&gt;,&lt;agg&gt;,&lt;start&gt;,&lt;index&gt;)</t>
  </si>
  <si>
    <t>Possible Field Names:</t>
  </si>
  <si>
    <r>
      <t>*H</t>
    </r>
    <r>
      <rPr>
        <sz val="10"/>
        <rFont val="Arial"/>
        <family val="0"/>
      </rPr>
      <t xml:space="preserve"> - Denotes History Function</t>
    </r>
  </si>
  <si>
    <r>
      <t>sym</t>
    </r>
    <r>
      <rPr>
        <sz val="10"/>
        <rFont val="Arial"/>
        <family val="0"/>
      </rPr>
      <t xml:space="preserve"> - Symbol</t>
    </r>
  </si>
  <si>
    <r>
      <t>fld</t>
    </r>
    <r>
      <rPr>
        <sz val="10"/>
        <rFont val="Arial"/>
        <family val="0"/>
      </rPr>
      <t xml:space="preserve"> - Field Name</t>
    </r>
  </si>
  <si>
    <r>
      <t>agg</t>
    </r>
    <r>
      <rPr>
        <sz val="10"/>
        <rFont val="Arial"/>
        <family val="0"/>
      </rPr>
      <t xml:space="preserve"> - Data Interval/Aggregation</t>
    </r>
  </si>
  <si>
    <t>D - Daily</t>
  </si>
  <si>
    <t>W - Weekly</t>
  </si>
  <si>
    <t>M - Monthly</t>
  </si>
  <si>
    <t>I&lt;n&gt; - Intraday with specific number of minutes</t>
  </si>
  <si>
    <t>History using Specific Dates</t>
  </si>
  <si>
    <t>BarTime</t>
  </si>
  <si>
    <t>History Using Index - 5 Days Back</t>
  </si>
  <si>
    <t>6)</t>
  </si>
  <si>
    <t>History Requests</t>
  </si>
  <si>
    <t>**Either Starting Date or Offset can be used, but not at the same time</t>
  </si>
  <si>
    <t>In this example, cells A10:A16 control Symbol &amp; cells A9:A9 control Field</t>
  </si>
  <si>
    <t>from B8, which is another reference to B11 Symbol &amp; cells C8:K8 control Field</t>
  </si>
  <si>
    <t>History Using Index - Last 10 Bars - 60 Minute Bars</t>
  </si>
  <si>
    <r>
      <t>start</t>
    </r>
    <r>
      <rPr>
        <sz val="10"/>
        <rFont val="Arial"/>
        <family val="0"/>
      </rPr>
      <t xml:space="preserve"> - Starting Date, is optional. Default is Current Day</t>
    </r>
  </si>
  <si>
    <r>
      <t>index</t>
    </r>
    <r>
      <rPr>
        <sz val="10"/>
        <rFont val="Arial"/>
        <family val="0"/>
      </rPr>
      <t xml:space="preserve"> - Offset from &lt;start&gt;, is optional. Default is 0. Number of Bars prior to Start Date/Current Day</t>
    </r>
  </si>
  <si>
    <t>BAC</t>
  </si>
  <si>
    <t>ICE</t>
  </si>
  <si>
    <t>$ Change 1 Month</t>
  </si>
  <si>
    <t>1Mth$Chg</t>
  </si>
  <si>
    <t>$ Change 3 Month</t>
  </si>
  <si>
    <t>3Mth$Chg</t>
  </si>
  <si>
    <t>$ Change 6 Month</t>
  </si>
  <si>
    <t>6Mth$Chg</t>
  </si>
  <si>
    <t>% Change 1 Month</t>
  </si>
  <si>
    <t>1Mth%Chg</t>
  </si>
  <si>
    <t>% Change 3 Month</t>
  </si>
  <si>
    <t>3Mth%Chg</t>
  </si>
  <si>
    <t>% Change 6 Month</t>
  </si>
  <si>
    <t>6Mth%Chg</t>
  </si>
  <si>
    <t>% Change Month</t>
  </si>
  <si>
    <t>Mth%Chg</t>
  </si>
  <si>
    <t>% Change Week</t>
  </si>
  <si>
    <t>Wk%Chg</t>
  </si>
  <si>
    <t>12Mo % Return</t>
  </si>
  <si>
    <t>12Mo %Tot Return</t>
  </si>
  <si>
    <t>12Mo Div Pd</t>
  </si>
  <si>
    <t>12Mo Prev Close</t>
  </si>
  <si>
    <t>1Mo % Ret Adj</t>
  </si>
  <si>
    <t>PRD_Month1Return1</t>
  </si>
  <si>
    <t>1Mo % Tot Ret Adj</t>
  </si>
  <si>
    <t>PRD_Month1Return2</t>
  </si>
  <si>
    <t>1Mo Begin Pr Adj</t>
  </si>
  <si>
    <t>PRD_Month1Price</t>
  </si>
  <si>
    <t>1Mo Cash Div Pd</t>
  </si>
  <si>
    <t>PRD_Month1Dividend</t>
  </si>
  <si>
    <t>1Mo SpinOff</t>
  </si>
  <si>
    <t>PRD_Month1SpinoffFlag</t>
  </si>
  <si>
    <t>3Mo % Ret Adj</t>
  </si>
  <si>
    <t>PRD_Month3Return1</t>
  </si>
  <si>
    <t>3Mo % Tot Ret Adj</t>
  </si>
  <si>
    <t>PRD_Month3Return2</t>
  </si>
  <si>
    <t>3Mo Begin Pr Adj</t>
  </si>
  <si>
    <t>PRD_Month3Price</t>
  </si>
  <si>
    <t>3Mo Cash Div Pd</t>
  </si>
  <si>
    <t>PRD_Month3Dividend</t>
  </si>
  <si>
    <t>3Mo SpinOff</t>
  </si>
  <si>
    <t>PRD_Month3SpinoffFlag</t>
  </si>
  <si>
    <t>52Wk H Date</t>
  </si>
  <si>
    <t>52Wk High</t>
  </si>
  <si>
    <t>52Wk High Percent Below</t>
  </si>
  <si>
    <t>percbelow52wkhi</t>
  </si>
  <si>
    <t>52Wk L Date</t>
  </si>
  <si>
    <t>52Wk Low</t>
  </si>
  <si>
    <t>52Wk Low Percent Above</t>
  </si>
  <si>
    <t>percabove52whi</t>
  </si>
  <si>
    <t>52Wk Range with Last</t>
  </si>
  <si>
    <t>52WklohiIndicator</t>
  </si>
  <si>
    <t>6Mo % Ret Adj</t>
  </si>
  <si>
    <t>PRD_Month6Return1</t>
  </si>
  <si>
    <t>6Mo % Tot Ret Adj</t>
  </si>
  <si>
    <t>PRD_Month6Return2</t>
  </si>
  <si>
    <t>6Mo Begin Pr Adj</t>
  </si>
  <si>
    <t>PRD_Month6Price</t>
  </si>
  <si>
    <t>6Mo Cash Div Pd</t>
  </si>
  <si>
    <t>PRD_Month6Dividend</t>
  </si>
  <si>
    <t>6Mo SpinOff</t>
  </si>
  <si>
    <t>PRD_Month6SpinoffFlag</t>
  </si>
  <si>
    <t>Bid/Ask Size</t>
  </si>
  <si>
    <t>BlockTrade1</t>
  </si>
  <si>
    <t>BlockTrade2</t>
  </si>
  <si>
    <t>BlockTrade3</t>
  </si>
  <si>
    <t>BlockTradeTotalCount</t>
  </si>
  <si>
    <t>BlockTradeTotalVol</t>
  </si>
  <si>
    <t>BlockTradeVol1</t>
  </si>
  <si>
    <t>BlockTradeVol2</t>
  </si>
  <si>
    <t>BlockTradeVol3</t>
  </si>
  <si>
    <t>Book Value</t>
  </si>
  <si>
    <t>Book Value per Share</t>
  </si>
  <si>
    <t>BookValPShare</t>
  </si>
  <si>
    <t>BuyerID</t>
  </si>
  <si>
    <t>Category Name</t>
  </si>
  <si>
    <t>CatName</t>
  </si>
  <si>
    <t>Comment</t>
  </si>
  <si>
    <t>UserComment</t>
  </si>
  <si>
    <t>Contract Deliverable</t>
  </si>
  <si>
    <t>ContractDeliverable</t>
  </si>
  <si>
    <t>Contract High</t>
  </si>
  <si>
    <t>ContractHigh</t>
  </si>
  <si>
    <t>Contract High Date</t>
  </si>
  <si>
    <t>ContractHighDate</t>
  </si>
  <si>
    <t>Contract High Volume</t>
  </si>
  <si>
    <t>ContractHighVol</t>
  </si>
  <si>
    <t>Contract Low</t>
  </si>
  <si>
    <t>ContractLow</t>
  </si>
  <si>
    <t>Contract Low Date</t>
  </si>
  <si>
    <t>ContractLowDate</t>
  </si>
  <si>
    <t>Contract Low Volume</t>
  </si>
  <si>
    <t>ContractLowVol</t>
  </si>
  <si>
    <t>Current Ratio</t>
  </si>
  <si>
    <t>CurRatio</t>
  </si>
  <si>
    <t>Current Trading Date</t>
  </si>
  <si>
    <t>TradingDay</t>
  </si>
  <si>
    <t>Days Til Expiration</t>
  </si>
  <si>
    <t>Delta</t>
  </si>
  <si>
    <t>Div, Date Annc</t>
  </si>
  <si>
    <t>Div, Pay Date</t>
  </si>
  <si>
    <t>Div, Prev XDate</t>
  </si>
  <si>
    <t>Div, Rec Date</t>
  </si>
  <si>
    <t>Div, Xdate</t>
  </si>
  <si>
    <t>EBITDA (TTM)</t>
  </si>
  <si>
    <t>EBITDA</t>
  </si>
  <si>
    <t>EPS, Current FY</t>
  </si>
  <si>
    <t>EPSCFy</t>
  </si>
  <si>
    <t>EPS, Exp NextQ</t>
  </si>
  <si>
    <t>EPSNextQtrExp</t>
  </si>
  <si>
    <t>EPS, Next FY</t>
  </si>
  <si>
    <t>EPSNxFy</t>
  </si>
  <si>
    <t>EPS, Next FYDt</t>
  </si>
  <si>
    <t>EPSNxFyDt</t>
  </si>
  <si>
    <t>EPS, Next Two FY</t>
  </si>
  <si>
    <t>EPSN2Fy</t>
  </si>
  <si>
    <t>EPS, NextQDt</t>
  </si>
  <si>
    <t>EPSNextQtrDt</t>
  </si>
  <si>
    <t>EPS, PrevQ</t>
  </si>
  <si>
    <t>EPSPrevQtr</t>
  </si>
  <si>
    <t>EPS, PrevQDt</t>
  </si>
  <si>
    <t>EPSPrevQtrDt</t>
  </si>
  <si>
    <t>ExtHours Change %</t>
  </si>
  <si>
    <t>ExtHours%Change</t>
  </si>
  <si>
    <t>ExtHours Net Change</t>
  </si>
  <si>
    <t>ExtHoursChange</t>
  </si>
  <si>
    <t>Float</t>
  </si>
  <si>
    <t>Forward Earnings Date</t>
  </si>
  <si>
    <t>QR1ReportDate</t>
  </si>
  <si>
    <t>Forward P/E Current Fiscal Year</t>
  </si>
  <si>
    <t>MeanEPSEstFwdCFY</t>
  </si>
  <si>
    <t>Forward P/E Current Quarter</t>
  </si>
  <si>
    <t>MeanEPSEstFwdCQTR</t>
  </si>
  <si>
    <t>Forward P/E Next Fiscal Year</t>
  </si>
  <si>
    <t>MeanEPSEstFwdNFY</t>
  </si>
  <si>
    <t>Forward P/E Next Quarter</t>
  </si>
  <si>
    <t>MeanEPSEstFwdNQTR</t>
  </si>
  <si>
    <t>Forward P/E Next Two Fiscal Year</t>
  </si>
  <si>
    <t>MeanEPSEstFwdN2FY</t>
  </si>
  <si>
    <t>Forward P/E Next Two Quarter</t>
  </si>
  <si>
    <t>MeanEPSEstFwdN2QTR</t>
  </si>
  <si>
    <t>Gamma</t>
  </si>
  <si>
    <t>ImpVol</t>
  </si>
  <si>
    <t>Insider Owned %</t>
  </si>
  <si>
    <t>InsiderOwnedPercent</t>
  </si>
  <si>
    <t>Institution Owned %</t>
  </si>
  <si>
    <t>InstitutionOwnedPercent</t>
  </si>
  <si>
    <t>Intrinsic Value</t>
  </si>
  <si>
    <t>IntValue</t>
  </si>
  <si>
    <t>ISIN</t>
  </si>
  <si>
    <t>Last News Update</t>
  </si>
  <si>
    <t>News Story Time</t>
  </si>
  <si>
    <t>Last+Change</t>
  </si>
  <si>
    <t>Last+Settle</t>
  </si>
  <si>
    <t>LastLS</t>
  </si>
  <si>
    <t>Market</t>
  </si>
  <si>
    <t>Mid Price</t>
  </si>
  <si>
    <t>MidPrice</t>
  </si>
  <si>
    <t>Mid Price Change</t>
  </si>
  <si>
    <t>MidPriceChange</t>
  </si>
  <si>
    <t>Month Prev Close</t>
  </si>
  <si>
    <t>Mov Avg 150</t>
  </si>
  <si>
    <t>Mov Avg 20</t>
  </si>
  <si>
    <t>PRD_Price20</t>
  </si>
  <si>
    <t>Mov Avg 200</t>
  </si>
  <si>
    <t>Mov Avg 50</t>
  </si>
  <si>
    <t>MTD $ Change</t>
  </si>
  <si>
    <t>MTD$Change</t>
  </si>
  <si>
    <t>MTD % Change</t>
  </si>
  <si>
    <t>MTD%Change</t>
  </si>
  <si>
    <t>MTD Div Paid</t>
  </si>
  <si>
    <t>MTD%RetAdj</t>
  </si>
  <si>
    <t>MTD%TotRetAdj</t>
  </si>
  <si>
    <t>Mutual Fund Category</t>
  </si>
  <si>
    <t>MutFundCat</t>
  </si>
  <si>
    <t>NAV</t>
  </si>
  <si>
    <t>Note</t>
  </si>
  <si>
    <t>SymNote</t>
  </si>
  <si>
    <t>Old Set IV</t>
  </si>
  <si>
    <t>OldSetIV</t>
  </si>
  <si>
    <t>Option Type (S/NS)</t>
  </si>
  <si>
    <t>OptionTypeSNS</t>
  </si>
  <si>
    <t>Optional Security</t>
  </si>
  <si>
    <t>HasOptions</t>
  </si>
  <si>
    <t>Payout Ratio</t>
  </si>
  <si>
    <t>PytRatio</t>
  </si>
  <si>
    <t>Prev Net Change</t>
  </si>
  <si>
    <t>PrevChange</t>
  </si>
  <si>
    <t>Previous Close</t>
  </si>
  <si>
    <t>Price to Book</t>
  </si>
  <si>
    <t>PtoBook</t>
  </si>
  <si>
    <t>Price to Book (TTM)</t>
  </si>
  <si>
    <t>PtoBookTTM</t>
  </si>
  <si>
    <t>Price to Sales</t>
  </si>
  <si>
    <t>PtoSales</t>
  </si>
  <si>
    <t>Profit Margin %</t>
  </si>
  <si>
    <t>ProfitMarginPercent</t>
  </si>
  <si>
    <t>Psi</t>
  </si>
  <si>
    <t>QTD $ Change</t>
  </si>
  <si>
    <t>QTD$Change</t>
  </si>
  <si>
    <t>QTD Div Paid</t>
  </si>
  <si>
    <t>QTD%RetAdj</t>
  </si>
  <si>
    <t>QTD%TotRetAdj</t>
  </si>
  <si>
    <t>Qtr Prev Close</t>
  </si>
  <si>
    <t>Quick Ratio</t>
  </si>
  <si>
    <t>QkRatio</t>
  </si>
  <si>
    <t>Recent</t>
  </si>
  <si>
    <t>Rho</t>
  </si>
  <si>
    <t>ROA (TTM)</t>
  </si>
  <si>
    <t>ROA</t>
  </si>
  <si>
    <t>ROE (TTM)</t>
  </si>
  <si>
    <t>ROE</t>
  </si>
  <si>
    <t>RSI</t>
  </si>
  <si>
    <t>Sales (TTM)</t>
  </si>
  <si>
    <t>Sales</t>
  </si>
  <si>
    <t>SEDOL</t>
  </si>
  <si>
    <t>SellerID</t>
  </si>
  <si>
    <t>Shares Outstanding</t>
  </si>
  <si>
    <t>SharesOut</t>
  </si>
  <si>
    <t>Short Int Mo % Chg</t>
  </si>
  <si>
    <t>Short Int Mo Chg</t>
  </si>
  <si>
    <t>Short Int Ratio</t>
  </si>
  <si>
    <t>Short Int YTD % Chg</t>
  </si>
  <si>
    <t>Short Int YTD Chg</t>
  </si>
  <si>
    <t>Short Interest</t>
  </si>
  <si>
    <t>Split Date</t>
  </si>
  <si>
    <t>CurSplitRatioDt</t>
  </si>
  <si>
    <t>Split Ratio</t>
  </si>
  <si>
    <t>CurSplitRatio</t>
  </si>
  <si>
    <t>Theoretical Price</t>
  </si>
  <si>
    <t>TheoreticalPrice</t>
  </si>
  <si>
    <t>Theta</t>
  </si>
  <si>
    <t>Time Value</t>
  </si>
  <si>
    <t>TimeValue</t>
  </si>
  <si>
    <t>Tot D/E (TTM)</t>
  </si>
  <si>
    <t>DebtToEq</t>
  </si>
  <si>
    <t>Underlying Name</t>
  </si>
  <si>
    <t>UnderlyingName</t>
  </si>
  <si>
    <t>Vega</t>
  </si>
  <si>
    <t>Vol Avg 10D</t>
  </si>
  <si>
    <t>Vol Avg 25D</t>
  </si>
  <si>
    <t>Vol Avg 3Mo</t>
  </si>
  <si>
    <t>Vol Avg 50D</t>
  </si>
  <si>
    <t>Vol Avg MTD</t>
  </si>
  <si>
    <t>VWAP</t>
  </si>
  <si>
    <t>Yr Prev Close</t>
  </si>
  <si>
    <t>YTD $ Change</t>
  </si>
  <si>
    <t>YTD$Change</t>
  </si>
  <si>
    <t>YTD % Change</t>
  </si>
  <si>
    <t>YTD%Change</t>
  </si>
  <si>
    <t>YTD Div Pd</t>
  </si>
  <si>
    <t>YTD%RetAdj</t>
  </si>
  <si>
    <t>YTD%TotRetAdj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</si>
</sst>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mm/dd/yy;@"/>
    <numFmt numFmtId="167" formatCode="m/d/yy;@"/>
    <numFmt numFmtId="168" formatCode="[$-409]h:mm:ss\ AM/PM"/>
    <numFmt numFmtId="169" formatCode="m/d/yyyy;@"/>
    <numFmt numFmtId="170" formatCode="[$-409]d\-mmm\-yyyy;@"/>
    <numFmt numFmtId="171" formatCode="[$-409]h:mm:ss\ AM/PM;@"/>
    <numFmt numFmtId="172" formatCode="[$-F400]h:mm:ss\ AM/PM"/>
    <numFmt numFmtId="173" formatCode="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\ h:mm;@"/>
    <numFmt numFmtId="179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Tahoma"/>
      <family val="2"/>
    </font>
    <font>
      <sz val="10"/>
      <color indexed="23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9"/>
      <color indexed="12"/>
      <name val="Arial"/>
      <family val="2"/>
    </font>
    <font>
      <b/>
      <sz val="12"/>
      <color indexed="9"/>
      <name val="Tahoma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164" fontId="6" fillId="33" borderId="0" xfId="0" applyNumberFormat="1" applyFont="1" applyFill="1" applyAlignment="1">
      <alignment horizontal="left"/>
    </xf>
    <xf numFmtId="3" fontId="6" fillId="33" borderId="0" xfId="0" applyNumberFormat="1" applyFont="1" applyFill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53" applyFill="1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1" fillId="0" borderId="0" xfId="53" applyAlignment="1" applyProtection="1">
      <alignment/>
      <protection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57" applyFont="1">
      <alignment/>
      <protection/>
    </xf>
    <xf numFmtId="0" fontId="4" fillId="0" borderId="0" xfId="0" applyFont="1" applyAlignment="1" quotePrefix="1">
      <alignment/>
    </xf>
    <xf numFmtId="0" fontId="18" fillId="33" borderId="0" xfId="0" applyFont="1" applyFill="1" applyAlignment="1">
      <alignment/>
    </xf>
    <xf numFmtId="0" fontId="18" fillId="33" borderId="0" xfId="57" applyFont="1" applyFill="1">
      <alignment/>
      <protection/>
    </xf>
    <xf numFmtId="0" fontId="19" fillId="0" borderId="0" xfId="0" applyFont="1" applyAlignment="1" quotePrefix="1">
      <alignment/>
    </xf>
    <xf numFmtId="172" fontId="6" fillId="33" borderId="0" xfId="0" applyNumberFormat="1" applyFont="1" applyFill="1" applyAlignment="1">
      <alignment horizontal="left"/>
    </xf>
    <xf numFmtId="171" fontId="6" fillId="33" borderId="0" xfId="0" applyNumberFormat="1" applyFont="1" applyFill="1" applyAlignment="1">
      <alignment horizontal="left"/>
    </xf>
    <xf numFmtId="173" fontId="0" fillId="0" borderId="0" xfId="0" applyNumberFormat="1" applyAlignment="1">
      <alignment/>
    </xf>
    <xf numFmtId="14" fontId="6" fillId="33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1" fillId="0" borderId="0" xfId="53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19" fillId="0" borderId="10" xfId="0" applyFont="1" applyBorder="1" applyAlignment="1" quotePrefix="1">
      <alignment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4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0" fillId="0" borderId="0" xfId="0" applyFont="1" applyAlignment="1">
      <alignment horizontal="left" indent="4"/>
    </xf>
    <xf numFmtId="0" fontId="5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3" max="3" width="10.7109375" style="0" bestFit="1" customWidth="1"/>
    <col min="4" max="4" width="12.57421875" style="0" bestFit="1" customWidth="1"/>
    <col min="5" max="5" width="11.140625" style="0" bestFit="1" customWidth="1"/>
    <col min="6" max="6" width="34.140625" style="0" bestFit="1" customWidth="1"/>
  </cols>
  <sheetData>
    <row r="1" ht="15.75">
      <c r="A1" s="15" t="s">
        <v>6</v>
      </c>
    </row>
    <row r="3" spans="1:4" ht="19.5" customHeight="1">
      <c r="A3" s="3" t="s">
        <v>10</v>
      </c>
      <c r="B3" s="11" t="s">
        <v>14</v>
      </c>
      <c r="C3" s="11"/>
      <c r="D3" s="12"/>
    </row>
    <row r="4" spans="1:4" ht="19.5" customHeight="1">
      <c r="A4" s="3" t="s">
        <v>11</v>
      </c>
      <c r="B4" s="11" t="s">
        <v>7</v>
      </c>
      <c r="C4" s="11"/>
      <c r="D4" s="11"/>
    </row>
    <row r="5" spans="1:4" ht="20.25" customHeight="1">
      <c r="A5" s="3" t="s">
        <v>12</v>
      </c>
      <c r="B5" s="11" t="s">
        <v>8</v>
      </c>
      <c r="C5" s="11"/>
      <c r="D5" s="11"/>
    </row>
    <row r="6" spans="1:4" ht="19.5" customHeight="1">
      <c r="A6" s="3" t="s">
        <v>13</v>
      </c>
      <c r="B6" s="11" t="s">
        <v>9</v>
      </c>
      <c r="C6" s="11"/>
      <c r="D6" s="11"/>
    </row>
    <row r="7" spans="1:3" ht="19.5" customHeight="1">
      <c r="A7" s="3" t="s">
        <v>70</v>
      </c>
      <c r="B7" s="11" t="s">
        <v>71</v>
      </c>
      <c r="C7" s="11"/>
    </row>
    <row r="8" spans="1:3" ht="12.75">
      <c r="A8" s="3" t="s">
        <v>216</v>
      </c>
      <c r="B8" s="11" t="s">
        <v>217</v>
      </c>
      <c r="C8" s="11"/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</row>
    <row r="12" spans="1:6" ht="12.75">
      <c r="A12" t="str">
        <f>_xlfn.RTD("esrtd",,"$INDU","Symbol")</f>
        <v>$INDU</v>
      </c>
      <c r="B12">
        <f>_xlfn.RTD("esrtd",,"$INDU","Last")</f>
        <v>18314.46</v>
      </c>
      <c r="C12">
        <f>_xlfn.RTD("esrtd",,"$INDU","Change")</f>
        <v>0.6899999999986903</v>
      </c>
      <c r="D12">
        <f>_xlfn.RTD("esrtd",,"$INDU","% Change")</f>
        <v>3.767656795944747E-05</v>
      </c>
      <c r="E12" s="29">
        <f>_xlfn.RTD("esrtd",,"$INDU","Volume")</f>
        <v>38452965</v>
      </c>
      <c r="F12" t="str">
        <f>_xlfn.RTD("esrtd",,"$INDU","Description")</f>
        <v>DOW JONES INDUSTRIAL AVERAGE</v>
      </c>
    </row>
    <row r="13" spans="1:6" ht="12.75">
      <c r="A13" t="str">
        <f>_xlfn.RTD("esrtd",,"AAPL","Symbol")</f>
        <v>AAPL</v>
      </c>
      <c r="B13">
        <f>_xlfn.RTD("esrtd",,"AAPL","Last")</f>
        <v>105.66</v>
      </c>
      <c r="C13">
        <f>_xlfn.RTD("esrtd",,"AAPL","Change")</f>
        <v>1.1799999999999926</v>
      </c>
      <c r="D13">
        <f>_xlfn.RTD("esrtd",,"AAPL","% Change")</f>
        <v>0.011294027565084155</v>
      </c>
      <c r="E13" s="29">
        <f>_xlfn.RTD("esrtd",,"AAPL","Volume")</f>
        <v>21389419</v>
      </c>
      <c r="F13" t="str">
        <f>_xlfn.RTD("esrtd",,"AAPL","Description")</f>
        <v>APPLE INC</v>
      </c>
    </row>
    <row r="14" spans="1:6" ht="12.75">
      <c r="A14" t="str">
        <f>_xlfn.RTD("esrtd",,"AXP","Symbol")</f>
        <v>AXP</v>
      </c>
      <c r="B14">
        <f>_xlfn.RTD("esrtd",,"AXP","Last")</f>
        <v>63.835</v>
      </c>
      <c r="C14">
        <f>_xlfn.RTD("esrtd",,"AXP","Change")</f>
        <v>0.365000000000002</v>
      </c>
      <c r="D14">
        <f>_xlfn.RTD("esrtd",,"AXP","% Change")</f>
        <v>0.005750748385063841</v>
      </c>
      <c r="E14" s="29">
        <f>_xlfn.RTD("esrtd",,"AXP","Volume")</f>
        <v>1759374</v>
      </c>
      <c r="F14" t="str">
        <f>_xlfn.RTD("esrtd",,"AXP","Description")</f>
        <v>AMERICAN EXPRESS CO</v>
      </c>
    </row>
    <row r="15" spans="1:6" ht="12.75">
      <c r="A15" t="str">
        <f>_xlfn.RTD("esrtd",,"BA","Symbol")</f>
        <v>BA</v>
      </c>
      <c r="B15">
        <f>_xlfn.RTD("esrtd",,"BA","Last")</f>
        <v>131.98</v>
      </c>
      <c r="C15">
        <f>_xlfn.RTD("esrtd",,"BA","Change")</f>
        <v>0.37999999999999545</v>
      </c>
      <c r="D15">
        <f>_xlfn.RTD("esrtd",,"BA","% Change")</f>
        <v>0.002887537993920938</v>
      </c>
      <c r="E15" s="29">
        <f>_xlfn.RTD("esrtd",,"BA","Volume")</f>
        <v>1551640</v>
      </c>
      <c r="F15" t="str">
        <f>_xlfn.RTD("esrtd",,"BA","Description")</f>
        <v>BOEING CO</v>
      </c>
    </row>
    <row r="16" spans="1:6" ht="12.75">
      <c r="A16" t="str">
        <f>_xlfn.RTD("esrtd",,"CAT","Symbol")</f>
        <v>CAT</v>
      </c>
      <c r="B16">
        <f>_xlfn.RTD("esrtd",,"CAT","Last")</f>
        <v>82.04</v>
      </c>
      <c r="C16">
        <f>_xlfn.RTD("esrtd",,"CAT","Change")</f>
        <v>0.8000000000000114</v>
      </c>
      <c r="D16">
        <f>_xlfn.RTD("esrtd",,"CAT","% Change")</f>
        <v>0.009847365829640712</v>
      </c>
      <c r="E16" s="29">
        <f>_xlfn.RTD("esrtd",,"CAT","Volume")</f>
        <v>2043332</v>
      </c>
      <c r="F16" t="str">
        <f>_xlfn.RTD("esrtd",,"CAT","Description")</f>
        <v>CATERPILLAR INC DEL</v>
      </c>
    </row>
    <row r="17" spans="1:6" ht="12.75">
      <c r="A17" t="str">
        <f>_xlfn.RTD("esrtd",,"CSCO","Symbol")</f>
        <v>CSCO</v>
      </c>
      <c r="B17">
        <f>_xlfn.RTD("esrtd",,"CSCO","Last")</f>
        <v>30.695</v>
      </c>
      <c r="C17">
        <f>_xlfn.RTD("esrtd",,"CSCO","Change")</f>
        <v>0.07499999999999929</v>
      </c>
      <c r="D17">
        <f>_xlfn.RTD("esrtd",,"CSCO","% Change")</f>
        <v>0.0024493794905290425</v>
      </c>
      <c r="E17" s="29">
        <f>_xlfn.RTD("esrtd",,"CSCO","Volume")</f>
        <v>9988367</v>
      </c>
      <c r="F17" t="str">
        <f>_xlfn.RTD("esrtd",,"CSCO","Description")</f>
        <v>CISCO SYS INC</v>
      </c>
    </row>
    <row r="18" spans="1:6" ht="12.75">
      <c r="A18" t="str">
        <f>_xlfn.RTD("esrtd",,"CVX","Symbol")</f>
        <v>CVX</v>
      </c>
      <c r="B18">
        <f>_xlfn.RTD("esrtd",,"CVX","Last")</f>
        <v>100.03</v>
      </c>
      <c r="C18">
        <f>_xlfn.RTD("esrtd",,"CVX","Change")</f>
        <v>0.4399999999999977</v>
      </c>
      <c r="D18">
        <f>_xlfn.RTD("esrtd",,"CVX","% Change")</f>
        <v>0.004418114268500831</v>
      </c>
      <c r="E18" s="29">
        <f>_xlfn.RTD("esrtd",,"CVX","Volume")</f>
        <v>4397599</v>
      </c>
      <c r="F18" t="str">
        <f>_xlfn.RTD("esrtd",,"CVX","Description")</f>
        <v>CHEVRON CORP NEW</v>
      </c>
    </row>
    <row r="19" spans="1:6" ht="12.75">
      <c r="A19" t="str">
        <f>_xlfn.RTD("esrtd",,"DD","Symbol")</f>
        <v>DD</v>
      </c>
      <c r="B19">
        <f>_xlfn.RTD("esrtd",,"DD","Last")</f>
        <v>68.76</v>
      </c>
      <c r="C19">
        <f>_xlfn.RTD("esrtd",,"DD","Change")</f>
        <v>0.030000000000001137</v>
      </c>
      <c r="D19">
        <f>_xlfn.RTD("esrtd",,"DD","% Change")</f>
        <v>0.0004364906154517843</v>
      </c>
      <c r="E19" s="29">
        <f>_xlfn.RTD("esrtd",,"DD","Volume")</f>
        <v>716770</v>
      </c>
      <c r="F19" t="str">
        <f>_xlfn.RTD("esrtd",,"DD","Description")</f>
        <v>DU PONT E I DE NEMOURS &amp; CO</v>
      </c>
    </row>
    <row r="20" spans="1:6" ht="12.75">
      <c r="A20" t="str">
        <f>_xlfn.RTD("esrtd",,"DIS","Symbol")</f>
        <v>DIS</v>
      </c>
      <c r="B20">
        <f>_xlfn.RTD("esrtd",,"DIS","Last")</f>
        <v>95.92</v>
      </c>
      <c r="C20">
        <f>_xlfn.RTD("esrtd",,"DIS","Change")</f>
        <v>0.9099999999999966</v>
      </c>
      <c r="D20">
        <f>_xlfn.RTD("esrtd",,"DIS","% Change")</f>
        <v>0.009577939164298459</v>
      </c>
      <c r="E20" s="29">
        <f>_xlfn.RTD("esrtd",,"DIS","Volume")</f>
        <v>6048201</v>
      </c>
      <c r="F20" t="str">
        <f>_xlfn.RTD("esrtd",,"DIS","Description")</f>
        <v>DISNEY WALT CO</v>
      </c>
    </row>
    <row r="21" spans="1:6" ht="12.75">
      <c r="A21" t="str">
        <f>_xlfn.RTD("esrtd",,"GE","Symbol")</f>
        <v>GE</v>
      </c>
      <c r="B21">
        <f>_xlfn.RTD("esrtd",,"GE","Last")</f>
        <v>31.0558</v>
      </c>
      <c r="C21">
        <f>_xlfn.RTD("esrtd",,"GE","Change")</f>
        <v>0.0058000000000006935</v>
      </c>
      <c r="D21">
        <f>_xlfn.RTD("esrtd",,"GE","% Change")</f>
        <v>0.00018679549114333956</v>
      </c>
      <c r="E21" s="29">
        <f>_xlfn.RTD("esrtd",,"GE","Volume")</f>
        <v>13460700</v>
      </c>
      <c r="F21" t="str">
        <f>_xlfn.RTD("esrtd",,"GE","Description")</f>
        <v>GENERAL ELECTRIC CO</v>
      </c>
    </row>
    <row r="22" spans="1:6" ht="12.75">
      <c r="A22" t="str">
        <f>_xlfn.RTD("esrtd",,"GS","Symbol")</f>
        <v>GS</v>
      </c>
      <c r="B22">
        <f>_xlfn.RTD("esrtd",,"GS","Last")</f>
        <v>158.22</v>
      </c>
      <c r="C22">
        <f>_xlfn.RTD("esrtd",,"GS","Change")</f>
        <v>2.1599999999999966</v>
      </c>
      <c r="D22">
        <f>_xlfn.RTD("esrtd",,"GS","% Change")</f>
        <v>0.013840830449826967</v>
      </c>
      <c r="E22" s="29">
        <f>_xlfn.RTD("esrtd",,"GS","Volume")</f>
        <v>1695852</v>
      </c>
      <c r="F22" t="str">
        <f>_xlfn.RTD("esrtd",,"GS","Description")</f>
        <v>GOLDMAN SACHS GROUP INC</v>
      </c>
    </row>
    <row r="23" spans="1:6" ht="12.75">
      <c r="A23" t="str">
        <f>_xlfn.RTD("esrtd",,"HD","Symbol")</f>
        <v>HD</v>
      </c>
      <c r="B23">
        <f>_xlfn.RTD("esrtd",,"HD","Last")</f>
        <v>136.77</v>
      </c>
      <c r="C23">
        <f>_xlfn.RTD("esrtd",,"HD","Change")</f>
        <v>-0.44999999999998863</v>
      </c>
      <c r="D23">
        <f>_xlfn.RTD("esrtd",,"HD","% Change")</f>
        <v>-0.003279405334499261</v>
      </c>
      <c r="E23" s="29">
        <f>_xlfn.RTD("esrtd",,"HD","Volume")</f>
        <v>2489051</v>
      </c>
      <c r="F23" t="str">
        <f>_xlfn.RTD("esrtd",,"HD","Description")</f>
        <v>HOME DEPOT INC</v>
      </c>
    </row>
    <row r="24" spans="1:6" ht="12.75">
      <c r="A24" t="str">
        <f>_xlfn.RTD("esrtd",,"IBM","Symbol")</f>
        <v>IBM</v>
      </c>
      <c r="B24">
        <f>_xlfn.RTD("esrtd",,"IBM","Last")</f>
        <v>159.9</v>
      </c>
      <c r="C24">
        <f>_xlfn.RTD("esrtd",,"IBM","Change")</f>
        <v>-0.6800000000000068</v>
      </c>
      <c r="D24">
        <f>_xlfn.RTD("esrtd",,"IBM","% Change")</f>
        <v>-0.004234649395939761</v>
      </c>
      <c r="E24" s="29">
        <f>_xlfn.RTD("esrtd",,"IBM","Volume")</f>
        <v>1839988</v>
      </c>
      <c r="F24" t="str">
        <f>_xlfn.RTD("esrtd",,"IBM","Description")</f>
        <v>INTERNATIONAL BUSINESS MACHS</v>
      </c>
    </row>
    <row r="25" spans="1:6" ht="12.75">
      <c r="A25" t="str">
        <f>_xlfn.RTD("esrtd",,"INTC","Symbol")</f>
        <v>INTC</v>
      </c>
      <c r="B25">
        <f>_xlfn.RTD("esrtd",,"INTC","Last")</f>
        <v>34.085</v>
      </c>
      <c r="C25">
        <f>_xlfn.RTD("esrtd",,"INTC","Change")</f>
        <v>-0.2149999999999963</v>
      </c>
      <c r="D25">
        <f>_xlfn.RTD("esrtd",,"INTC","% Change")</f>
        <v>-0.006268221574343916</v>
      </c>
      <c r="E25" s="29">
        <f>_xlfn.RTD("esrtd",,"INTC","Volume")</f>
        <v>12504429</v>
      </c>
      <c r="F25" t="str">
        <f>_xlfn.RTD("esrtd",,"INTC","Description")</f>
        <v>INTEL CORP</v>
      </c>
    </row>
    <row r="26" spans="1:6" ht="12.75">
      <c r="A26" t="str">
        <f>_xlfn.RTD("esrtd",,"JNJ","Symbol")</f>
        <v>JNJ</v>
      </c>
      <c r="B26">
        <f>_xlfn.RTD("esrtd",,"JNJ","Last")</f>
        <v>123.751</v>
      </c>
      <c r="C26">
        <f>_xlfn.RTD("esrtd",,"JNJ","Change")</f>
        <v>-1.0989999999999895</v>
      </c>
      <c r="D26">
        <f>_xlfn.RTD("esrtd",,"JNJ","% Change")</f>
        <v>-0.008802563075690746</v>
      </c>
      <c r="E26" s="29">
        <f>_xlfn.RTD("esrtd",,"JNJ","Volume")</f>
        <v>2552176</v>
      </c>
      <c r="F26" t="str">
        <f>_xlfn.RTD("esrtd",,"JNJ","Description")</f>
        <v>JOHNSON &amp; JOHNSON</v>
      </c>
    </row>
    <row r="27" spans="1:6" ht="12.75">
      <c r="A27" t="str">
        <f>_xlfn.RTD("esrtd",,"JPM","Symbol")</f>
        <v>JPM</v>
      </c>
      <c r="B27">
        <f>_xlfn.RTD("esrtd",,"JPM","Last")</f>
        <v>64.38</v>
      </c>
      <c r="C27">
        <f>_xlfn.RTD("esrtd",,"JPM","Change")</f>
        <v>0.7299999999999969</v>
      </c>
      <c r="D27">
        <f>_xlfn.RTD("esrtd",,"JPM","% Change")</f>
        <v>0.011468970934799637</v>
      </c>
      <c r="E27" s="29">
        <f>_xlfn.RTD("esrtd",,"JPM","Volume")</f>
        <v>7996172</v>
      </c>
      <c r="F27" t="str">
        <f>_xlfn.RTD("esrtd",,"JPM","Description")</f>
        <v>JPMORGAN CHASE &amp; CO</v>
      </c>
    </row>
    <row r="28" spans="1:6" ht="12.75">
      <c r="A28" t="str">
        <f>_xlfn.RTD("esrtd",,"KO","Symbol")</f>
        <v>KO</v>
      </c>
      <c r="B28">
        <f>_xlfn.RTD("esrtd",,"KO","Last")</f>
        <v>43.545</v>
      </c>
      <c r="C28">
        <f>_xlfn.RTD("esrtd",,"KO","Change")</f>
        <v>0.015000000000000568</v>
      </c>
      <c r="D28">
        <f>_xlfn.RTD("esrtd",,"KO","% Change")</f>
        <v>0.0003445899379738242</v>
      </c>
      <c r="E28" s="29">
        <f>_xlfn.RTD("esrtd",,"KO","Volume")</f>
        <v>8251998</v>
      </c>
      <c r="F28" t="str">
        <f>_xlfn.RTD("esrtd",,"KO","Description")</f>
        <v>COCA COLA CO</v>
      </c>
    </row>
    <row r="29" spans="1:6" ht="12.75">
      <c r="A29" t="str">
        <f>_xlfn.RTD("esrtd",,"MCD","Symbol")</f>
        <v>MCD</v>
      </c>
      <c r="B29">
        <f>_xlfn.RTD("esrtd",,"MCD","Last")</f>
        <v>117.345</v>
      </c>
      <c r="C29">
        <f>_xlfn.RTD("esrtd",,"MCD","Change")</f>
        <v>-0.355000000000004</v>
      </c>
      <c r="D29">
        <f>_xlfn.RTD("esrtd",,"MCD","% Change")</f>
        <v>-0.003016142735768938</v>
      </c>
      <c r="E29" s="29">
        <f>_xlfn.RTD("esrtd",,"MCD","Volume")</f>
        <v>2673326</v>
      </c>
      <c r="F29" t="str">
        <f>_xlfn.RTD("esrtd",,"MCD","Description")</f>
        <v>MCDONALDS CORP</v>
      </c>
    </row>
    <row r="30" spans="1:6" ht="12.75">
      <c r="A30" t="str">
        <f>_xlfn.RTD("esrtd",,"MMM","Symbol")</f>
        <v>MMM</v>
      </c>
      <c r="B30">
        <f>_xlfn.RTD("esrtd",,"MMM","Last")</f>
        <v>178.1</v>
      </c>
      <c r="C30">
        <f>_xlfn.RTD("esrtd",,"MMM","Change")</f>
        <v>-0.2600000000000193</v>
      </c>
      <c r="D30">
        <f>_xlfn.RTD("esrtd",,"MMM","% Change")</f>
        <v>-0.001457725947521974</v>
      </c>
      <c r="E30" s="29">
        <f>_xlfn.RTD("esrtd",,"MMM","Volume")</f>
        <v>868330</v>
      </c>
      <c r="F30" t="str">
        <f>_xlfn.RTD("esrtd",,"MMM","Description")</f>
        <v>3M CO</v>
      </c>
    </row>
    <row r="31" spans="1:6" ht="12.75">
      <c r="A31" t="str">
        <f>_xlfn.RTD("esrtd",,"MRK","Symbol")</f>
        <v>MRK</v>
      </c>
      <c r="B31">
        <f>_xlfn.RTD("esrtd",,"MRK","Last")</f>
        <v>57.535</v>
      </c>
      <c r="C31">
        <f>_xlfn.RTD("esrtd",,"MRK","Change")</f>
        <v>-0.7950000000000017</v>
      </c>
      <c r="D31">
        <f>_xlfn.RTD("esrtd",,"MRK","% Change")</f>
        <v>-0.013629350248585663</v>
      </c>
      <c r="E31" s="29">
        <f>_xlfn.RTD("esrtd",,"MRK","Volume")</f>
        <v>6080510</v>
      </c>
      <c r="F31" t="str">
        <f>_xlfn.RTD("esrtd",,"MRK","Description")</f>
        <v>MERCK &amp; CO INC</v>
      </c>
    </row>
    <row r="32" spans="1:6" ht="12.75">
      <c r="A32" t="str">
        <f>_xlfn.RTD("esrtd",,"MSFT","Symbol")</f>
        <v>MSFT</v>
      </c>
      <c r="B32">
        <f>_xlfn.RTD("esrtd",,"MSFT","Last")</f>
        <v>56.81</v>
      </c>
      <c r="C32">
        <f>_xlfn.RTD("esrtd",,"MSFT","Change")</f>
        <v>0.23000000000000398</v>
      </c>
      <c r="D32">
        <f>_xlfn.RTD("esrtd",,"MSFT","% Change")</f>
        <v>0.004065040650406575</v>
      </c>
      <c r="E32" s="29">
        <f>_xlfn.RTD("esrtd",,"MSFT","Volume")</f>
        <v>14592084</v>
      </c>
      <c r="F32" t="str">
        <f>_xlfn.RTD("esrtd",,"MSFT","Description")</f>
        <v>MICROSOFT CORP</v>
      </c>
    </row>
    <row r="33" spans="1:6" ht="12.75">
      <c r="A33" t="str">
        <f>_xlfn.RTD("esrtd",,"NKE","Symbol")</f>
        <v>NKE</v>
      </c>
      <c r="B33">
        <f>_xlfn.RTD("esrtd",,"NKE","Last")</f>
        <v>54.89</v>
      </c>
      <c r="C33">
        <f>_xlfn.RTD("esrtd",,"NKE","Change")</f>
        <v>-0.030000000000001137</v>
      </c>
      <c r="D33">
        <f>_xlfn.RTD("esrtd",,"NKE","% Change")</f>
        <v>-0.0005462490895848714</v>
      </c>
      <c r="E33" s="29">
        <f>_xlfn.RTD("esrtd",,"NKE","Volume")</f>
        <v>6186955</v>
      </c>
      <c r="F33" t="str">
        <f>_xlfn.RTD("esrtd",,"NKE","Description")</f>
        <v>NIKE INC</v>
      </c>
    </row>
    <row r="34" spans="1:6" ht="12.75">
      <c r="A34" t="str">
        <f>_xlfn.RTD("esrtd",,"PFE","Symbol")</f>
        <v>PFE</v>
      </c>
      <c r="B34">
        <f>_xlfn.RTD("esrtd",,"PFE","Last")</f>
        <v>35.08</v>
      </c>
      <c r="C34">
        <f>_xlfn.RTD("esrtd",,"PFE","Change")</f>
        <v>-1.0100000000000051</v>
      </c>
      <c r="D34">
        <f>_xlfn.RTD("esrtd",,"PFE","% Change")</f>
        <v>-0.02798559157661416</v>
      </c>
      <c r="E34" s="29">
        <f>_xlfn.RTD("esrtd",,"PFE","Volume")</f>
        <v>26804871</v>
      </c>
      <c r="F34" t="str">
        <f>_xlfn.RTD("esrtd",,"PFE","Description")</f>
        <v>PFIZER INC</v>
      </c>
    </row>
    <row r="35" spans="1:6" ht="12.75">
      <c r="A35" t="str">
        <f>_xlfn.RTD("esrtd",,"PG","Symbol")</f>
        <v>PG</v>
      </c>
      <c r="B35">
        <f>_xlfn.RTD("esrtd",,"PG","Last")</f>
        <v>85.62</v>
      </c>
      <c r="C35">
        <f>_xlfn.RTD("esrtd",,"PG","Change")</f>
        <v>-1.1400000000000006</v>
      </c>
      <c r="D35">
        <f>_xlfn.RTD("esrtd",,"PG","% Change")</f>
        <v>-0.013139695712309826</v>
      </c>
      <c r="E35" s="29">
        <f>_xlfn.RTD("esrtd",,"PG","Volume")</f>
        <v>5381199</v>
      </c>
      <c r="F35" t="str">
        <f>_xlfn.RTD("esrtd",,"PG","Description")</f>
        <v>PROCTER &amp; GAMBLE CO</v>
      </c>
    </row>
    <row r="36" spans="1:6" ht="12.75">
      <c r="A36" t="str">
        <f>_xlfn.RTD("esrtd",,"TRV","Symbol")</f>
        <v>TRV</v>
      </c>
      <c r="B36">
        <f>_xlfn.RTD("esrtd",,"TRV","Last")</f>
        <v>117.825</v>
      </c>
      <c r="C36">
        <f>_xlfn.RTD("esrtd",,"TRV","Change")</f>
        <v>0.7950000000000017</v>
      </c>
      <c r="D36">
        <f>_xlfn.RTD("esrtd",,"TRV","% Change")</f>
        <v>0.006793129966675226</v>
      </c>
      <c r="E36" s="29">
        <f>_xlfn.RTD("esrtd",,"TRV","Volume")</f>
        <v>865805</v>
      </c>
      <c r="F36" t="str">
        <f>_xlfn.RTD("esrtd",,"TRV","Description")</f>
        <v>TRAVELERS COMPANIES INC</v>
      </c>
    </row>
    <row r="37" spans="1:6" ht="12.75">
      <c r="A37" t="str">
        <f>_xlfn.RTD("esrtd",,"UNH","Symbol")</f>
        <v>UNH</v>
      </c>
      <c r="B37">
        <f>_xlfn.RTD("esrtd",,"UNH","Last")</f>
        <v>142.56</v>
      </c>
      <c r="C37">
        <f>_xlfn.RTD("esrtd",,"UNH","Change")</f>
        <v>-0.6099999999999852</v>
      </c>
      <c r="D37">
        <f>_xlfn.RTD("esrtd",,"UNH","% Change")</f>
        <v>-0.0042606691345951336</v>
      </c>
      <c r="E37" s="29">
        <f>_xlfn.RTD("esrtd",,"UNH","Volume")</f>
        <v>1057376</v>
      </c>
      <c r="F37" t="str">
        <f>_xlfn.RTD("esrtd",,"UNH","Description")</f>
        <v>UNITEDHEALTH GROUP INC</v>
      </c>
    </row>
    <row r="38" spans="1:6" ht="12.75">
      <c r="A38" t="str">
        <f>_xlfn.RTD("esrtd",,"UTX","Symbol")</f>
        <v>UTX</v>
      </c>
      <c r="B38">
        <f>_xlfn.RTD("esrtd",,"UTX","Last")</f>
        <v>106.195</v>
      </c>
      <c r="C38">
        <f>_xlfn.RTD("esrtd",,"UTX","Change")</f>
        <v>-0.07500000000000284</v>
      </c>
      <c r="D38">
        <f>_xlfn.RTD("esrtd",,"UTX","% Change")</f>
        <v>-0.0007057495059753726</v>
      </c>
      <c r="E38" s="29">
        <f>_xlfn.RTD("esrtd",,"UTX","Volume")</f>
        <v>1601135</v>
      </c>
      <c r="F38" t="str">
        <f>_xlfn.RTD("esrtd",,"UTX","Description")</f>
        <v>UNITED TECHNOLOGIES CORP</v>
      </c>
    </row>
    <row r="39" spans="1:6" ht="12.75">
      <c r="A39" t="str">
        <f>_xlfn.RTD("esrtd",,"V","Symbol")</f>
        <v>V</v>
      </c>
      <c r="B39">
        <f>_xlfn.RTD("esrtd",,"V","Last")</f>
        <v>78.405</v>
      </c>
      <c r="C39">
        <f>_xlfn.RTD("esrtd",,"V","Change")</f>
        <v>0.125</v>
      </c>
      <c r="D39">
        <f>_xlfn.RTD("esrtd",,"V","% Change")</f>
        <v>0.0015968318855390904</v>
      </c>
      <c r="E39" s="29">
        <f>_xlfn.RTD("esrtd",,"V","Volume")</f>
        <v>4441925</v>
      </c>
      <c r="F39" t="str">
        <f>_xlfn.RTD("esrtd",,"V","Description")</f>
        <v>VISA INC</v>
      </c>
    </row>
    <row r="40" spans="1:6" ht="12.75">
      <c r="A40" t="str">
        <f>_xlfn.RTD("esrtd",,"VZ","Symbol")</f>
        <v>VZ</v>
      </c>
      <c r="B40">
        <f>_xlfn.RTD("esrtd",,"VZ","Last")</f>
        <v>53.71</v>
      </c>
      <c r="C40">
        <f>_xlfn.RTD("esrtd",,"VZ","Change")</f>
        <v>-0.28999999999999915</v>
      </c>
      <c r="D40">
        <f>_xlfn.RTD("esrtd",,"VZ","% Change")</f>
        <v>-0.005370370370370354</v>
      </c>
      <c r="E40" s="29">
        <f>_xlfn.RTD("esrtd",,"VZ","Volume")</f>
        <v>6776722</v>
      </c>
      <c r="F40" t="str">
        <f>_xlfn.RTD("esrtd",,"VZ","Description")</f>
        <v>VERIZON COMMUNICATIONS INC</v>
      </c>
    </row>
    <row r="41" spans="1:6" ht="12.75">
      <c r="A41" t="str">
        <f>_xlfn.RTD("esrtd",,"WMT","Symbol")</f>
        <v>WMT</v>
      </c>
      <c r="B41">
        <f>_xlfn.RTD("esrtd",,"WMT","Last")</f>
        <v>72.775</v>
      </c>
      <c r="C41">
        <f>_xlfn.RTD("esrtd",,"WMT","Change")</f>
        <v>-0.35499999999998977</v>
      </c>
      <c r="D41">
        <f>_xlfn.RTD("esrtd",,"WMT","% Change")</f>
        <v>-0.004854368932038696</v>
      </c>
      <c r="E41" s="29">
        <f>_xlfn.RTD("esrtd",,"WMT","Volume")</f>
        <v>4818410</v>
      </c>
      <c r="F41" t="str">
        <f>_xlfn.RTD("esrtd",,"WMT","Description")</f>
        <v>WAL-MART STORES INC</v>
      </c>
    </row>
    <row r="42" spans="1:6" ht="12.75">
      <c r="A42" t="str">
        <f>_xlfn.RTD("esrtd",,"XOM","Symbol")</f>
        <v>XOM</v>
      </c>
      <c r="B42">
        <f>_xlfn.RTD("esrtd",,"XOM","Last")</f>
        <v>86.84</v>
      </c>
      <c r="C42">
        <f>_xlfn.RTD("esrtd",,"XOM","Change")</f>
        <v>-0.20000000000000284</v>
      </c>
      <c r="D42">
        <f>_xlfn.RTD("esrtd",,"XOM","% Change")</f>
        <v>-0.0022977941176470914</v>
      </c>
      <c r="E42" s="29">
        <f>_xlfn.RTD("esrtd",,"XOM","Volume")</f>
        <v>8320333</v>
      </c>
      <c r="F42" t="str">
        <f>_xlfn.RTD("esrtd",,"XOM","Description")</f>
        <v>EXXON MOBIL CORP</v>
      </c>
    </row>
    <row r="43" ht="12.75">
      <c r="E43" s="29"/>
    </row>
    <row r="44" ht="12.75">
      <c r="E44" s="29"/>
    </row>
    <row r="45" ht="12.75">
      <c r="E45" s="29"/>
    </row>
    <row r="46" ht="12.75">
      <c r="E46" s="29"/>
    </row>
    <row r="47" ht="12.75">
      <c r="E47" s="29"/>
    </row>
    <row r="48" ht="12.75">
      <c r="E48" s="29"/>
    </row>
    <row r="49" ht="12.75">
      <c r="E49" s="29"/>
    </row>
    <row r="50" ht="12.75">
      <c r="E50" s="29"/>
    </row>
    <row r="51" ht="12.75">
      <c r="E51" s="29"/>
    </row>
    <row r="52" ht="12.75">
      <c r="E52" s="29"/>
    </row>
    <row r="53" ht="12.75">
      <c r="E53" s="29"/>
    </row>
    <row r="54" ht="12.75">
      <c r="E54" s="29"/>
    </row>
    <row r="55" ht="12.75">
      <c r="E55" s="29"/>
    </row>
    <row r="56" ht="12.75">
      <c r="E56" s="29"/>
    </row>
    <row r="57" ht="12.75">
      <c r="E57" s="29"/>
    </row>
    <row r="58" ht="12.75">
      <c r="E58" s="29"/>
    </row>
    <row r="59" ht="12.75">
      <c r="E59" s="29"/>
    </row>
    <row r="60" ht="12.75">
      <c r="E60" s="29"/>
    </row>
    <row r="61" ht="12.75">
      <c r="E61" s="29"/>
    </row>
  </sheetData>
  <sheetProtection/>
  <hyperlinks>
    <hyperlink ref="B3" location="'Normal Links Updating'!A1" display="Normal Links Updating"/>
    <hyperlink ref="B4" location="'Cell Ref Symbol'!E9" display="Fields Linked to Cell for Symbol"/>
    <hyperlink ref="B5" location="'Cell Ref Field'!A8" display="Symbols Linked to Cell for Fields"/>
    <hyperlink ref="B3:C3" location="'Normal Links Updating'!A9" display="Normal Links Updating"/>
    <hyperlink ref="B4:D4" location="'Cell Ref Symbol'!E9" display="Fields Linked to Cell for Symbol"/>
    <hyperlink ref="B5:D5" location="'Cell Ref Field'!A8" display="Symbols Linked to Cell for Fields"/>
    <hyperlink ref="B3:D3" location="'Normal Links'!A8" display="Normal Links Updating"/>
    <hyperlink ref="B7:C7" location="'Fields - Syntax'!A2" display="Fields &amp; Syntax"/>
    <hyperlink ref="B6:D6" location="'Cell Ref Cell'!A15" display="Cell Reference to a Cell Reference"/>
    <hyperlink ref="B8" location="'Historical Data - Syntax'!A2" display="History Requests"/>
    <hyperlink ref="B8:C8" location="'Historical Data - Syntax'!A2" display="History Requests"/>
  </hyperlink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57421875" style="0" customWidth="1"/>
    <col min="2" max="2" width="13.7109375" style="0" customWidth="1"/>
    <col min="3" max="3" width="11.28125" style="0" customWidth="1"/>
    <col min="4" max="4" width="15.7109375" style="0" customWidth="1"/>
    <col min="5" max="5" width="1.421875" style="0" customWidth="1"/>
    <col min="6" max="6" width="13.7109375" style="0" customWidth="1"/>
    <col min="7" max="7" width="13.8515625" style="0" customWidth="1"/>
    <col min="8" max="8" width="11.421875" style="0" customWidth="1"/>
    <col min="9" max="9" width="15.7109375" style="0" customWidth="1"/>
  </cols>
  <sheetData>
    <row r="1" spans="1:8" ht="12.75">
      <c r="A1" s="39" t="s">
        <v>32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65</v>
      </c>
      <c r="B2" s="39"/>
      <c r="C2" s="39"/>
      <c r="D2" s="39"/>
      <c r="E2" s="39"/>
      <c r="F2" s="39"/>
      <c r="G2" s="39"/>
      <c r="H2" s="39"/>
    </row>
    <row r="10" spans="1:7" ht="15.75">
      <c r="A10" s="8" t="s">
        <v>31</v>
      </c>
      <c r="B10" s="9" t="s">
        <v>153</v>
      </c>
      <c r="F10" s="8" t="s">
        <v>31</v>
      </c>
      <c r="G10" s="9" t="s">
        <v>156</v>
      </c>
    </row>
    <row r="12" spans="1:9" ht="14.25">
      <c r="A12" s="41"/>
      <c r="B12" s="41"/>
      <c r="C12" s="41"/>
      <c r="D12" s="41"/>
      <c r="F12" s="41"/>
      <c r="G12" s="41"/>
      <c r="H12" s="41"/>
      <c r="I12" s="41"/>
    </row>
    <row r="13" spans="1:9" ht="12.75">
      <c r="A13" s="40" t="str">
        <f>_xlfn.RTD("esrtd",,B10,"Description")</f>
        <v>MICROSOFT CORP</v>
      </c>
      <c r="B13" s="40"/>
      <c r="C13" s="40"/>
      <c r="D13" s="40"/>
      <c r="F13" s="40" t="str">
        <f>_xlfn.RTD("esrtd",,G10,"Description")</f>
        <v>3M CO</v>
      </c>
      <c r="G13" s="40"/>
      <c r="H13" s="40"/>
      <c r="I13" s="40"/>
    </row>
    <row r="14" spans="1:9" ht="12.75">
      <c r="A14" s="5" t="s">
        <v>33</v>
      </c>
      <c r="B14" s="4">
        <f>_xlfn.RTD("esrtd",,B10,"Last")</f>
        <v>56.81</v>
      </c>
      <c r="C14" s="5" t="s">
        <v>46</v>
      </c>
      <c r="D14" s="26">
        <f>_xlfn.RTD("esrtd",,B10,"Date")</f>
        <v>42585</v>
      </c>
      <c r="F14" s="5" t="s">
        <v>126</v>
      </c>
      <c r="G14" s="4">
        <f>_xlfn.RTD("esrtd",,G10,"Last")</f>
        <v>178.1</v>
      </c>
      <c r="H14" s="5" t="s">
        <v>139</v>
      </c>
      <c r="I14" s="26">
        <f>_xlfn.RTD("esrtd",,G10,"Date")</f>
        <v>42585</v>
      </c>
    </row>
    <row r="15" spans="1:9" ht="12.75">
      <c r="A15" s="5" t="s">
        <v>34</v>
      </c>
      <c r="B15" s="4">
        <f>_xlfn.RTD("esrtd",,B10,"Change")</f>
        <v>0.23000000000000398</v>
      </c>
      <c r="C15" s="5" t="s">
        <v>47</v>
      </c>
      <c r="D15" s="23">
        <f>_xlfn.RTD("esrtd",,B10,"Time")</f>
        <v>42585.57498842593</v>
      </c>
      <c r="F15" s="5" t="s">
        <v>127</v>
      </c>
      <c r="G15" s="4">
        <f>_xlfn.RTD("esrtd",,G10,"Change")</f>
        <v>-0.2600000000000193</v>
      </c>
      <c r="H15" s="5" t="s">
        <v>140</v>
      </c>
      <c r="I15" s="24">
        <f>_xlfn.RTD("esrtd",,G10,"Time")</f>
        <v>42585.57497685185</v>
      </c>
    </row>
    <row r="16" spans="1:9" ht="12.75">
      <c r="A16" s="5" t="s">
        <v>35</v>
      </c>
      <c r="B16" s="4">
        <f>_xlfn.RTD("esrtd",,B10,"Volume")</f>
        <v>14592084</v>
      </c>
      <c r="C16" s="5" t="s">
        <v>48</v>
      </c>
      <c r="D16" s="4" t="str">
        <f>_xlfn.RTD("esrtd",,B10,"CUSIP")</f>
        <v>594918104</v>
      </c>
      <c r="F16" s="5" t="s">
        <v>128</v>
      </c>
      <c r="G16" s="4">
        <f>_xlfn.RTD("esrtd",,G10,"Volume")</f>
        <v>868330</v>
      </c>
      <c r="H16" s="5" t="s">
        <v>141</v>
      </c>
      <c r="I16" s="4" t="str">
        <f>_xlfn.RTD("esrtd",,G10,"CUSIP")</f>
        <v>88579Y101</v>
      </c>
    </row>
    <row r="17" spans="1:9" ht="12.75">
      <c r="A17" s="5" t="s">
        <v>36</v>
      </c>
      <c r="B17" s="4">
        <f>_xlfn.RTD("esrtd",,B10,"PrevPrice")</f>
        <v>56.58</v>
      </c>
      <c r="C17" s="5" t="s">
        <v>49</v>
      </c>
      <c r="D17" s="4" t="str">
        <f>_xlfn.RTD("esrtd",,B10,"TradeExchange")</f>
        <v>EDGA</v>
      </c>
      <c r="F17" s="5" t="s">
        <v>129</v>
      </c>
      <c r="G17" s="4">
        <f>_xlfn.RTD("esrtd",,G10,"PrevPrice")</f>
        <v>178.36</v>
      </c>
      <c r="H17" s="5" t="s">
        <v>142</v>
      </c>
      <c r="I17" s="4" t="str">
        <f>_xlfn.RTD("esrtd",,G10,"TradeExchange")</f>
        <v>NYSE</v>
      </c>
    </row>
    <row r="18" spans="1:9" ht="12.75">
      <c r="A18" s="5" t="s">
        <v>37</v>
      </c>
      <c r="B18" s="4">
        <f>_xlfn.RTD("esrtd",,B10,"Bid")</f>
        <v>56.81</v>
      </c>
      <c r="C18" s="5" t="s">
        <v>50</v>
      </c>
      <c r="D18" s="4" t="str">
        <f>_xlfn.RTD("esrtd",,B10,"BidExchange")</f>
        <v>NMS</v>
      </c>
      <c r="F18" s="5" t="s">
        <v>130</v>
      </c>
      <c r="G18" s="4">
        <f>_xlfn.RTD("esrtd",,G10,"Bid")</f>
        <v>178.1</v>
      </c>
      <c r="H18" s="5" t="s">
        <v>143</v>
      </c>
      <c r="I18" s="4" t="str">
        <f>_xlfn.RTD("esrtd",,G10,"BidExchange")</f>
        <v>BATS</v>
      </c>
    </row>
    <row r="19" spans="1:9" ht="12.75">
      <c r="A19" s="5" t="s">
        <v>38</v>
      </c>
      <c r="B19" s="4">
        <f>_xlfn.RTD("esrtd",,B10,"Ask")</f>
        <v>56.82</v>
      </c>
      <c r="C19" s="5" t="s">
        <v>51</v>
      </c>
      <c r="D19" s="4" t="str">
        <f>_xlfn.RTD("esrtd",,B10,"AskExchange")</f>
        <v>PSE</v>
      </c>
      <c r="F19" s="5" t="s">
        <v>131</v>
      </c>
      <c r="G19" s="4">
        <f>_xlfn.RTD("esrtd",,G10,"Ask")</f>
        <v>178.11</v>
      </c>
      <c r="H19" s="5" t="s">
        <v>144</v>
      </c>
      <c r="I19" s="4" t="str">
        <f>_xlfn.RTD("esrtd",,G10,"AskExchange")</f>
        <v>BATS</v>
      </c>
    </row>
    <row r="20" spans="1:9" ht="12.75">
      <c r="A20" s="5" t="s">
        <v>39</v>
      </c>
      <c r="B20" s="4">
        <f>_xlfn.RTD("esrtd",,B10,"High")</f>
        <v>57.11</v>
      </c>
      <c r="C20" s="5" t="s">
        <v>52</v>
      </c>
      <c r="D20" s="6">
        <f>_xlfn.RTD("esrtd",,B10,"% Change")*100</f>
        <v>0.4065040650406575</v>
      </c>
      <c r="F20" s="5" t="s">
        <v>132</v>
      </c>
      <c r="G20" s="4">
        <f>_xlfn.RTD("esrtd",,G10,"High")</f>
        <v>179.13</v>
      </c>
      <c r="H20" s="5" t="s">
        <v>145</v>
      </c>
      <c r="I20" s="6">
        <f>_xlfn.RTD("esrtd",,G10,"% Change")*100</f>
        <v>-0.1457725947521974</v>
      </c>
    </row>
    <row r="21" spans="1:9" ht="12.75">
      <c r="A21" s="5" t="s">
        <v>40</v>
      </c>
      <c r="B21" s="4">
        <f>_xlfn.RTD("esrtd",,B10,"Low")</f>
        <v>56.49</v>
      </c>
      <c r="C21" s="5" t="s">
        <v>53</v>
      </c>
      <c r="D21" s="4">
        <f>_xlfn.RTD("esrtd",,B10,"EPS")</f>
        <v>2.12</v>
      </c>
      <c r="F21" s="5" t="s">
        <v>133</v>
      </c>
      <c r="G21" s="4">
        <f>_xlfn.RTD("esrtd",,G10,"Low")</f>
        <v>178.04</v>
      </c>
      <c r="H21" s="5" t="s">
        <v>146</v>
      </c>
      <c r="I21" s="4">
        <f>_xlfn.RTD("esrtd",,G10,"EPS")</f>
        <v>8.01</v>
      </c>
    </row>
    <row r="22" spans="1:9" ht="12.75">
      <c r="A22" s="5" t="s">
        <v>41</v>
      </c>
      <c r="B22" s="4">
        <f>_xlfn.RTD("esrtd",,B10,"Open")</f>
        <v>56.68</v>
      </c>
      <c r="C22" s="5" t="s">
        <v>54</v>
      </c>
      <c r="D22" s="4">
        <f>_xlfn.RTD("esrtd",,B10,"PE")</f>
        <v>26.797169811320753</v>
      </c>
      <c r="F22" s="5" t="s">
        <v>134</v>
      </c>
      <c r="G22" s="4">
        <f>_xlfn.RTD("esrtd",,G10,"Open")</f>
        <v>178.72</v>
      </c>
      <c r="H22" s="5" t="s">
        <v>147</v>
      </c>
      <c r="I22" s="4">
        <f>_xlfn.RTD("esrtd",,G10,"PE")</f>
        <v>22.23470661672909</v>
      </c>
    </row>
    <row r="23" spans="1:9" ht="12.75">
      <c r="A23" s="5" t="s">
        <v>42</v>
      </c>
      <c r="B23" s="4">
        <f>_xlfn.RTD("esrtd",,B10,"TradeSize")</f>
        <v>100</v>
      </c>
      <c r="C23" s="5" t="s">
        <v>55</v>
      </c>
      <c r="D23" s="7">
        <f>_xlfn.RTD("esrtd",,B10,"Market Cap")</f>
        <v>442692833960</v>
      </c>
      <c r="F23" s="5" t="s">
        <v>135</v>
      </c>
      <c r="G23" s="4">
        <f>_xlfn.RTD("esrtd",,G10,"TradeSize")</f>
        <v>100</v>
      </c>
      <c r="H23" s="5" t="s">
        <v>148</v>
      </c>
      <c r="I23" s="7">
        <f>_xlfn.RTD("esrtd",,G10,"Market Cap")</f>
        <v>107643640000</v>
      </c>
    </row>
    <row r="24" spans="1:9" ht="12.75">
      <c r="A24" s="5" t="s">
        <v>43</v>
      </c>
      <c r="B24" s="4">
        <f>_xlfn.RTD("esrtd",,B10,"52wkhi")</f>
        <v>57.29</v>
      </c>
      <c r="C24" s="5" t="s">
        <v>56</v>
      </c>
      <c r="D24" s="4">
        <f>_xlfn.RTD("esrtd",,B10,"BETA")</f>
        <v>1.0515</v>
      </c>
      <c r="F24" s="5" t="s">
        <v>136</v>
      </c>
      <c r="G24" s="4">
        <f>_xlfn.RTD("esrtd",,G10,"52wkhi")</f>
        <v>182.27</v>
      </c>
      <c r="H24" s="5" t="s">
        <v>149</v>
      </c>
      <c r="I24" s="4">
        <f>_xlfn.RTD("esrtd",,G10,"BETA")</f>
        <v>1.0608</v>
      </c>
    </row>
    <row r="25" spans="1:9" ht="12.75">
      <c r="A25" s="5" t="s">
        <v>44</v>
      </c>
      <c r="B25" s="4">
        <f>_xlfn.RTD("esrtd",,B10,"52wklo")</f>
        <v>39.72</v>
      </c>
      <c r="C25" s="5" t="s">
        <v>57</v>
      </c>
      <c r="D25" s="4">
        <f>_xlfn.RTD("esrtd",,B10,"Shares")</f>
        <v>7792516000</v>
      </c>
      <c r="F25" s="5" t="s">
        <v>137</v>
      </c>
      <c r="G25" s="4">
        <f>_xlfn.RTD("esrtd",,G10,"52wklo")</f>
        <v>134</v>
      </c>
      <c r="H25" s="5" t="s">
        <v>150</v>
      </c>
      <c r="I25" s="4">
        <f>_xlfn.RTD("esrtd",,G10,"Shares")</f>
        <v>604400000</v>
      </c>
    </row>
    <row r="26" spans="1:9" ht="12.75">
      <c r="A26" s="5" t="s">
        <v>45</v>
      </c>
      <c r="B26" s="4">
        <f>_xlfn.RTD("esrtd",,B10,"ExtHours")</f>
      </c>
      <c r="C26" s="5" t="s">
        <v>58</v>
      </c>
      <c r="D26" s="4">
        <f>_xlfn.RTD("esrtd",,B10,"Dividend")</f>
        <v>0.36</v>
      </c>
      <c r="F26" s="5" t="s">
        <v>138</v>
      </c>
      <c r="G26" s="4">
        <f>_xlfn.RTD("esrtd",,G10,"ExtHours")</f>
      </c>
      <c r="H26" s="5" t="s">
        <v>151</v>
      </c>
      <c r="I26" s="4">
        <f>_xlfn.RTD("esrtd",,G10,"Dividend")</f>
        <v>1.11</v>
      </c>
    </row>
    <row r="29" spans="1:2" ht="12.75">
      <c r="A29" s="28" t="s">
        <v>69</v>
      </c>
      <c r="B29" s="28"/>
    </row>
  </sheetData>
  <sheetProtection/>
  <mergeCells count="6">
    <mergeCell ref="A1:H1"/>
    <mergeCell ref="A2:H2"/>
    <mergeCell ref="A13:D13"/>
    <mergeCell ref="A12:D12"/>
    <mergeCell ref="F13:I13"/>
    <mergeCell ref="F12:I12"/>
  </mergeCells>
  <hyperlinks>
    <hyperlink ref="A29:B29" location="'Normal Links'!A8" display="Click For Main Page"/>
  </hyperlink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9.140625" defaultRowHeight="12.75"/>
  <cols>
    <col min="4" max="4" width="10.7109375" style="0" bestFit="1" customWidth="1"/>
    <col min="9" max="9" width="15.140625" style="0" customWidth="1"/>
    <col min="10" max="10" width="12.7109375" style="0" bestFit="1" customWidth="1"/>
    <col min="11" max="11" width="10.57421875" style="0" bestFit="1" customWidth="1"/>
  </cols>
  <sheetData>
    <row r="1" spans="1:9" ht="12.75">
      <c r="A1" s="39" t="s">
        <v>219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 t="s">
        <v>66</v>
      </c>
      <c r="B2" s="39"/>
      <c r="C2" s="39"/>
      <c r="D2" s="39"/>
      <c r="E2" s="39"/>
      <c r="F2" s="39"/>
      <c r="G2" s="39"/>
      <c r="H2" s="39"/>
      <c r="I2" s="39"/>
    </row>
    <row r="9" spans="2:10" ht="12.75">
      <c r="B9" s="2" t="s">
        <v>1</v>
      </c>
      <c r="C9" s="2" t="s">
        <v>67</v>
      </c>
      <c r="D9" s="2" t="s">
        <v>26</v>
      </c>
      <c r="E9" s="2" t="s">
        <v>17</v>
      </c>
      <c r="F9" s="2" t="s">
        <v>15</v>
      </c>
      <c r="G9" s="2" t="s">
        <v>23</v>
      </c>
      <c r="H9" s="2" t="s">
        <v>24</v>
      </c>
      <c r="I9" s="2" t="s">
        <v>4</v>
      </c>
      <c r="J9" s="2" t="s">
        <v>68</v>
      </c>
    </row>
    <row r="10" spans="1:10" ht="12.75">
      <c r="A10" s="2" t="s">
        <v>224</v>
      </c>
      <c r="B10">
        <f>_xlfn.RTD("esrtd",,A10,B9)</f>
        <v>14.415</v>
      </c>
      <c r="C10" s="14">
        <f>_xlfn.RTD("esrtd",,A10,C9)</f>
        <v>0.28499999999999837</v>
      </c>
      <c r="D10">
        <f>_xlfn.RTD("esrtd",,A10,D9)</f>
        <v>14.11</v>
      </c>
      <c r="E10">
        <f>_xlfn.RTD("esrtd",,A10,E9)</f>
        <v>14.41</v>
      </c>
      <c r="F10">
        <f>_xlfn.RTD("esrtd",,A10,F9)</f>
        <v>14.42</v>
      </c>
      <c r="G10">
        <f>_xlfn.RTD("esrtd",,A10,G9)</f>
        <v>14.47</v>
      </c>
      <c r="H10">
        <f>_xlfn.RTD("esrtd",,A10,H9)</f>
        <v>14.095</v>
      </c>
      <c r="I10" s="29">
        <f>_xlfn.RTD("esrtd",,A10,I9)</f>
        <v>46599738</v>
      </c>
      <c r="J10" s="25">
        <f>_xlfn.RTD("esrtd",,A10,J9)</f>
        <v>42585.57497685185</v>
      </c>
    </row>
    <row r="11" spans="1:10" ht="12.75">
      <c r="A11" s="2" t="s">
        <v>60</v>
      </c>
      <c r="B11">
        <f>_xlfn.RTD("esrtd",,A11,B9)</f>
        <v>30.695</v>
      </c>
      <c r="C11" s="14">
        <f>_xlfn.RTD("esrtd",,A11,C9)</f>
        <v>0.07499999999999929</v>
      </c>
      <c r="D11">
        <f>_xlfn.RTD("esrtd",,A11,D9)</f>
        <v>30.51</v>
      </c>
      <c r="E11">
        <f>_xlfn.RTD("esrtd",,A11,E9)</f>
        <v>30.69</v>
      </c>
      <c r="F11">
        <f>_xlfn.RTD("esrtd",,A11,F9)</f>
        <v>30.7</v>
      </c>
      <c r="G11">
        <f>_xlfn.RTD("esrtd",,A11,G9)</f>
        <v>30.74</v>
      </c>
      <c r="H11">
        <f>_xlfn.RTD("esrtd",,A11,H9)</f>
        <v>30.51</v>
      </c>
      <c r="I11" s="29">
        <f>_xlfn.RTD("esrtd",,A11,I9)</f>
        <v>9988367</v>
      </c>
      <c r="J11" s="25">
        <f>_xlfn.RTD("esrtd",,A11,J9)</f>
        <v>42585.57497685185</v>
      </c>
    </row>
    <row r="12" spans="1:10" ht="12.75">
      <c r="A12" s="2" t="s">
        <v>59</v>
      </c>
      <c r="B12">
        <f>_xlfn.RTD("esrtd",,A12,B9)</f>
        <v>56.81</v>
      </c>
      <c r="C12" s="14">
        <f>_xlfn.RTD("esrtd",,A12,C9)</f>
        <v>0.23000000000000398</v>
      </c>
      <c r="D12">
        <f>_xlfn.RTD("esrtd",,A12,D9)</f>
        <v>56.68</v>
      </c>
      <c r="E12">
        <f>_xlfn.RTD("esrtd",,A12,E9)</f>
        <v>56.81</v>
      </c>
      <c r="F12">
        <f>_xlfn.RTD("esrtd",,A12,F9)</f>
        <v>56.82</v>
      </c>
      <c r="G12">
        <f>_xlfn.RTD("esrtd",,A12,G9)</f>
        <v>57.11</v>
      </c>
      <c r="H12">
        <f>_xlfn.RTD("esrtd",,A12,H9)</f>
        <v>56.49</v>
      </c>
      <c r="I12" s="29">
        <f>_xlfn.RTD("esrtd",,A12,I9)</f>
        <v>14592084</v>
      </c>
      <c r="J12" s="25">
        <f>_xlfn.RTD("esrtd",,A12,J9)</f>
        <v>42585.57498842593</v>
      </c>
    </row>
    <row r="13" spans="1:10" ht="12.75">
      <c r="A13" s="2" t="s">
        <v>225</v>
      </c>
      <c r="B13">
        <f>_xlfn.RTD("esrtd",,A13,B9)</f>
        <v>276.635</v>
      </c>
      <c r="C13" s="14">
        <f>_xlfn.RTD("esrtd",,A13,C9)</f>
        <v>12.704999999999984</v>
      </c>
      <c r="D13">
        <f>_xlfn.RTD("esrtd",,A13,D9)</f>
        <v>271.06</v>
      </c>
      <c r="E13">
        <f>_xlfn.RTD("esrtd",,A13,E9)</f>
        <v>276.57</v>
      </c>
      <c r="F13">
        <f>_xlfn.RTD("esrtd",,A13,F9)</f>
        <v>276.78</v>
      </c>
      <c r="G13">
        <f>_xlfn.RTD("esrtd",,A13,G9)</f>
        <v>283.2541</v>
      </c>
      <c r="H13">
        <f>_xlfn.RTD("esrtd",,A13,H9)</f>
        <v>270.01</v>
      </c>
      <c r="I13" s="29">
        <f>_xlfn.RTD("esrtd",,A13,I9)</f>
        <v>1385618</v>
      </c>
      <c r="J13" s="25">
        <f>_xlfn.RTD("esrtd",,A13,J9)</f>
        <v>42585.57491898148</v>
      </c>
    </row>
    <row r="14" spans="1:10" ht="12.75">
      <c r="A14" s="2" t="s">
        <v>62</v>
      </c>
      <c r="B14">
        <f>_xlfn.RTD("esrtd",,A14,B9)</f>
        <v>42.61</v>
      </c>
      <c r="C14" s="14">
        <f>_xlfn.RTD("esrtd",,A14,C9)</f>
        <v>0.5499999999999972</v>
      </c>
      <c r="D14">
        <f>_xlfn.RTD("esrtd",,A14,D9)</f>
        <v>42.01</v>
      </c>
      <c r="E14">
        <f>_xlfn.RTD("esrtd",,A14,E9)</f>
        <v>42.61</v>
      </c>
      <c r="F14">
        <f>_xlfn.RTD("esrtd",,A14,F9)</f>
        <v>42.62</v>
      </c>
      <c r="G14">
        <f>_xlfn.RTD("esrtd",,A14,G9)</f>
        <v>42.92</v>
      </c>
      <c r="H14">
        <f>_xlfn.RTD("esrtd",,A14,H9)</f>
        <v>41.69</v>
      </c>
      <c r="I14" s="29">
        <f>_xlfn.RTD("esrtd",,A14,I9)</f>
        <v>4916797</v>
      </c>
      <c r="J14" s="25">
        <f>_xlfn.RTD("esrtd",,A14,J9)</f>
        <v>42585.57498842593</v>
      </c>
    </row>
    <row r="15" spans="1:10" ht="12.75">
      <c r="A15" s="2" t="s">
        <v>63</v>
      </c>
      <c r="B15">
        <f>_xlfn.RTD("esrtd",,A15,B9)</f>
        <v>5.135</v>
      </c>
      <c r="C15" s="14">
        <f>_xlfn.RTD("esrtd",,A15,C9)</f>
        <v>0.23499999999999943</v>
      </c>
      <c r="D15">
        <f>_xlfn.RTD("esrtd",,A15,D9)</f>
        <v>4.95</v>
      </c>
      <c r="E15">
        <f>_xlfn.RTD("esrtd",,A15,E9)</f>
        <v>5.13</v>
      </c>
      <c r="F15">
        <f>_xlfn.RTD("esrtd",,A15,F9)</f>
        <v>5.14</v>
      </c>
      <c r="G15">
        <f>_xlfn.RTD("esrtd",,A15,G9)</f>
        <v>5.19</v>
      </c>
      <c r="H15">
        <f>_xlfn.RTD("esrtd",,A15,H9)</f>
        <v>4.82</v>
      </c>
      <c r="I15" s="29">
        <f>_xlfn.RTD("esrtd",,A15,I9)</f>
        <v>30646310</v>
      </c>
      <c r="J15" s="25">
        <f>_xlfn.RTD("esrtd",,A15,J9)</f>
        <v>42585.57497685185</v>
      </c>
    </row>
    <row r="16" spans="1:10" ht="12.75">
      <c r="A16" s="2" t="s">
        <v>64</v>
      </c>
      <c r="B16">
        <f>_xlfn.RTD("esrtd",,A16,B9)</f>
        <v>32.49</v>
      </c>
      <c r="C16" s="14">
        <f>_xlfn.RTD("esrtd",,A16,C9)</f>
        <v>0.5800000000000018</v>
      </c>
      <c r="D16">
        <f>_xlfn.RTD("esrtd",,A16,D9)</f>
        <v>31.93</v>
      </c>
      <c r="E16">
        <f>_xlfn.RTD("esrtd",,A16,E9)</f>
        <v>32.49</v>
      </c>
      <c r="F16">
        <f>_xlfn.RTD("esrtd",,A16,F9)</f>
        <v>32.5</v>
      </c>
      <c r="G16">
        <f>_xlfn.RTD("esrtd",,A16,G9)</f>
        <v>32.87</v>
      </c>
      <c r="H16">
        <f>_xlfn.RTD("esrtd",,A16,H9)</f>
        <v>31.82</v>
      </c>
      <c r="I16" s="29">
        <f>_xlfn.RTD("esrtd",,A16,I9)</f>
        <v>2588816</v>
      </c>
      <c r="J16" s="25">
        <f>_xlfn.RTD("esrtd",,A16,J9)</f>
        <v>42585.57498842593</v>
      </c>
    </row>
    <row r="19" spans="1:2" ht="12.75">
      <c r="A19" s="28" t="s">
        <v>69</v>
      </c>
      <c r="B19" s="28"/>
    </row>
  </sheetData>
  <sheetProtection/>
  <mergeCells count="2">
    <mergeCell ref="A1:I1"/>
    <mergeCell ref="A2:I2"/>
  </mergeCells>
  <hyperlinks>
    <hyperlink ref="A19:B19" location="'Normal Links'!A8" display="Click For Main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9" sqref="A9"/>
    </sheetView>
  </sheetViews>
  <sheetFormatPr defaultColWidth="9.140625" defaultRowHeight="12.75"/>
  <cols>
    <col min="6" max="6" width="12.7109375" style="0" bestFit="1" customWidth="1"/>
  </cols>
  <sheetData>
    <row r="1" spans="1:15" ht="12.75">
      <c r="A1" s="39" t="s">
        <v>154</v>
      </c>
      <c r="B1" s="39"/>
      <c r="C1" s="39"/>
      <c r="D1" s="39"/>
      <c r="E1" s="39"/>
      <c r="F1" s="39"/>
      <c r="G1" s="39"/>
      <c r="H1" s="39"/>
      <c r="I1" s="39"/>
      <c r="J1" s="39"/>
      <c r="K1" s="27"/>
      <c r="L1" s="27"/>
      <c r="M1" s="27"/>
      <c r="N1" s="27"/>
      <c r="O1" s="27"/>
    </row>
    <row r="2" spans="1:15" ht="12.75">
      <c r="A2" s="39" t="s">
        <v>220</v>
      </c>
      <c r="B2" s="39"/>
      <c r="C2" s="39"/>
      <c r="D2" s="39"/>
      <c r="E2" s="39"/>
      <c r="F2" s="39"/>
      <c r="G2" s="39"/>
      <c r="H2" s="39"/>
      <c r="I2" s="39"/>
      <c r="J2" s="27"/>
      <c r="K2" s="27"/>
      <c r="L2" s="27"/>
      <c r="M2" s="27"/>
      <c r="N2" s="27"/>
      <c r="O2" s="27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27"/>
      <c r="K3" s="27"/>
      <c r="L3" s="27"/>
      <c r="M3" s="27"/>
      <c r="N3" s="27"/>
      <c r="O3" s="27"/>
    </row>
    <row r="4" spans="1:9" ht="12.75">
      <c r="A4" s="39" t="s">
        <v>155</v>
      </c>
      <c r="B4" s="39"/>
      <c r="C4" s="39"/>
      <c r="D4" s="39"/>
      <c r="E4" s="39"/>
      <c r="F4" s="39"/>
      <c r="G4" s="39"/>
      <c r="H4" s="39"/>
      <c r="I4" s="39"/>
    </row>
    <row r="7" spans="2:6" ht="12.75"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2:6" ht="12.75">
      <c r="B8" t="str">
        <f>B11</f>
        <v>msft</v>
      </c>
      <c r="C8">
        <f>_xlfn.RTD("esrtd",,B8,"Last")</f>
        <v>56.81</v>
      </c>
      <c r="D8">
        <f>_xlfn.RTD("esrtd",,B8,"Change")</f>
        <v>0.23000000000000398</v>
      </c>
      <c r="E8">
        <f>_xlfn.RTD("esrtd",,B8,"% Change")*100</f>
        <v>0.4065040650406575</v>
      </c>
      <c r="F8" s="29">
        <f>_xlfn.RTD("esrtd",,B8,"Volume")</f>
        <v>14592084</v>
      </c>
    </row>
    <row r="11" spans="1:2" ht="12.75">
      <c r="A11" s="3" t="s">
        <v>152</v>
      </c>
      <c r="B11" s="2" t="s">
        <v>153</v>
      </c>
    </row>
    <row r="13" spans="1:2" ht="12.75">
      <c r="A13" s="28" t="s">
        <v>69</v>
      </c>
      <c r="B13" s="28"/>
    </row>
  </sheetData>
  <sheetProtection/>
  <mergeCells count="3">
    <mergeCell ref="A4:I4"/>
    <mergeCell ref="A1:J1"/>
    <mergeCell ref="A2:I2"/>
  </mergeCells>
  <hyperlinks>
    <hyperlink ref="A13:B13" location="'Normal Links'!A8" display="Click For Main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00390625" style="0" customWidth="1"/>
    <col min="2" max="2" width="37.421875" style="0" customWidth="1"/>
  </cols>
  <sheetData>
    <row r="1" ht="12.75">
      <c r="A1" s="11" t="s">
        <v>69</v>
      </c>
    </row>
    <row r="2" spans="1:2" ht="12.75">
      <c r="A2" s="10"/>
      <c r="B2" s="10"/>
    </row>
    <row r="5" spans="1:3" ht="12.75">
      <c r="A5" s="43" t="s">
        <v>73</v>
      </c>
      <c r="B5" s="43"/>
      <c r="C5" s="43"/>
    </row>
    <row r="7" spans="1:4" ht="18">
      <c r="A7" s="22" t="s">
        <v>74</v>
      </c>
      <c r="B7" s="19"/>
      <c r="C7" s="19"/>
      <c r="D7" s="19"/>
    </row>
    <row r="10" ht="15.75">
      <c r="A10" s="15" t="s">
        <v>75</v>
      </c>
    </row>
    <row r="12" spans="1:3" ht="12.75">
      <c r="A12" s="42" t="s">
        <v>125</v>
      </c>
      <c r="B12" s="42"/>
      <c r="C12" s="16"/>
    </row>
    <row r="13" spans="1:2" ht="15">
      <c r="A13" s="20" t="s">
        <v>124</v>
      </c>
      <c r="B13" s="21" t="s">
        <v>123</v>
      </c>
    </row>
    <row r="14" spans="1:3" ht="12.75">
      <c r="A14" t="s">
        <v>0</v>
      </c>
      <c r="B14" t="s">
        <v>0</v>
      </c>
      <c r="C14" s="17"/>
    </row>
    <row r="15" spans="1:3" ht="12.75">
      <c r="A15" s="38" t="s">
        <v>227</v>
      </c>
      <c r="B15" t="s">
        <v>226</v>
      </c>
      <c r="C15" s="17"/>
    </row>
    <row r="16" spans="1:3" ht="12.75">
      <c r="A16" s="38" t="s">
        <v>229</v>
      </c>
      <c r="B16" t="s">
        <v>228</v>
      </c>
      <c r="C16" s="17"/>
    </row>
    <row r="17" spans="1:3" ht="12.75">
      <c r="A17" s="38" t="s">
        <v>231</v>
      </c>
      <c r="B17" t="s">
        <v>230</v>
      </c>
      <c r="C17" s="17"/>
    </row>
    <row r="18" spans="1:3" ht="12.75">
      <c r="A18" t="s">
        <v>3</v>
      </c>
      <c r="B18" t="s">
        <v>3</v>
      </c>
      <c r="C18" s="17"/>
    </row>
    <row r="19" spans="1:3" ht="12.75">
      <c r="A19" s="38" t="s">
        <v>233</v>
      </c>
      <c r="B19" t="s">
        <v>232</v>
      </c>
      <c r="C19" s="17"/>
    </row>
    <row r="20" spans="1:3" ht="12.75">
      <c r="A20" s="38" t="s">
        <v>235</v>
      </c>
      <c r="B20" t="s">
        <v>234</v>
      </c>
      <c r="C20" s="17"/>
    </row>
    <row r="21" spans="1:3" ht="12.75">
      <c r="A21" s="38" t="s">
        <v>237</v>
      </c>
      <c r="B21" t="s">
        <v>236</v>
      </c>
      <c r="C21" s="17"/>
    </row>
    <row r="22" spans="1:3" ht="12.75">
      <c r="A22" s="38" t="s">
        <v>239</v>
      </c>
      <c r="B22" t="s">
        <v>238</v>
      </c>
      <c r="C22" s="17"/>
    </row>
    <row r="23" spans="1:3" ht="12.75">
      <c r="A23" s="38" t="s">
        <v>241</v>
      </c>
      <c r="B23" t="s">
        <v>240</v>
      </c>
      <c r="C23" s="17"/>
    </row>
    <row r="24" spans="1:3" ht="12.75">
      <c r="A24" s="38" t="s">
        <v>157</v>
      </c>
      <c r="B24" t="s">
        <v>242</v>
      </c>
      <c r="C24" s="17"/>
    </row>
    <row r="25" spans="1:3" ht="12.75">
      <c r="A25" s="38" t="s">
        <v>158</v>
      </c>
      <c r="B25" t="s">
        <v>243</v>
      </c>
      <c r="C25" s="17"/>
    </row>
    <row r="26" spans="1:3" ht="12.75">
      <c r="A26" s="38" t="s">
        <v>160</v>
      </c>
      <c r="B26" t="s">
        <v>244</v>
      </c>
      <c r="C26" s="17"/>
    </row>
    <row r="27" spans="1:3" ht="12.75">
      <c r="A27" s="38" t="s">
        <v>159</v>
      </c>
      <c r="B27" t="s">
        <v>245</v>
      </c>
      <c r="C27" s="17"/>
    </row>
    <row r="28" spans="1:3" ht="12.75">
      <c r="A28" s="38" t="s">
        <v>247</v>
      </c>
      <c r="B28" t="s">
        <v>246</v>
      </c>
      <c r="C28" s="17"/>
    </row>
    <row r="29" spans="1:3" ht="12.75">
      <c r="A29" s="38" t="s">
        <v>249</v>
      </c>
      <c r="B29" t="s">
        <v>248</v>
      </c>
      <c r="C29" s="17"/>
    </row>
    <row r="30" spans="1:3" ht="12.75">
      <c r="A30" s="38" t="s">
        <v>251</v>
      </c>
      <c r="B30" t="s">
        <v>250</v>
      </c>
      <c r="C30" s="17"/>
    </row>
    <row r="31" spans="1:3" ht="12.75">
      <c r="A31" s="38" t="s">
        <v>253</v>
      </c>
      <c r="B31" t="s">
        <v>252</v>
      </c>
      <c r="C31" s="17"/>
    </row>
    <row r="32" spans="1:3" ht="12.75">
      <c r="A32" s="38" t="s">
        <v>255</v>
      </c>
      <c r="B32" t="s">
        <v>254</v>
      </c>
      <c r="C32" s="17"/>
    </row>
    <row r="33" spans="1:3" ht="12.75">
      <c r="A33" s="38" t="s">
        <v>257</v>
      </c>
      <c r="B33" t="s">
        <v>256</v>
      </c>
      <c r="C33" s="17"/>
    </row>
    <row r="34" spans="1:3" ht="12.75">
      <c r="A34" s="38" t="s">
        <v>259</v>
      </c>
      <c r="B34" t="s">
        <v>258</v>
      </c>
      <c r="C34" s="17"/>
    </row>
    <row r="35" spans="1:3" ht="12.75">
      <c r="A35" s="38" t="s">
        <v>261</v>
      </c>
      <c r="B35" t="s">
        <v>260</v>
      </c>
      <c r="C35" s="17"/>
    </row>
    <row r="36" spans="1:3" ht="12.75">
      <c r="A36" s="38" t="s">
        <v>263</v>
      </c>
      <c r="B36" t="s">
        <v>262</v>
      </c>
      <c r="C36" s="17"/>
    </row>
    <row r="37" spans="1:3" ht="12.75">
      <c r="A37" s="38" t="s">
        <v>265</v>
      </c>
      <c r="B37" t="s">
        <v>264</v>
      </c>
      <c r="C37" s="17"/>
    </row>
    <row r="38" spans="1:3" ht="12.75">
      <c r="A38" s="38" t="s">
        <v>109</v>
      </c>
      <c r="B38" t="s">
        <v>266</v>
      </c>
      <c r="C38" s="17"/>
    </row>
    <row r="39" spans="1:3" ht="12.75">
      <c r="A39" s="38" t="s">
        <v>82</v>
      </c>
      <c r="B39" t="s">
        <v>267</v>
      </c>
      <c r="C39" s="17"/>
    </row>
    <row r="40" spans="1:3" ht="12.75">
      <c r="A40" s="38" t="s">
        <v>269</v>
      </c>
      <c r="B40" t="s">
        <v>268</v>
      </c>
      <c r="C40" s="17"/>
    </row>
    <row r="41" spans="1:3" ht="12.75">
      <c r="A41" s="38" t="s">
        <v>110</v>
      </c>
      <c r="B41" t="s">
        <v>270</v>
      </c>
      <c r="C41" s="17"/>
    </row>
    <row r="42" spans="1:3" ht="12.75">
      <c r="A42" s="38" t="s">
        <v>83</v>
      </c>
      <c r="B42" t="s">
        <v>271</v>
      </c>
      <c r="C42" s="17"/>
    </row>
    <row r="43" spans="1:3" ht="12.75">
      <c r="A43" s="38" t="s">
        <v>273</v>
      </c>
      <c r="B43" t="s">
        <v>272</v>
      </c>
      <c r="C43" s="17"/>
    </row>
    <row r="44" spans="1:3" ht="12.75">
      <c r="A44" s="38" t="s">
        <v>275</v>
      </c>
      <c r="B44" t="s">
        <v>274</v>
      </c>
      <c r="C44" s="17"/>
    </row>
    <row r="45" spans="1:3" ht="12.75">
      <c r="A45" s="38" t="s">
        <v>277</v>
      </c>
      <c r="B45" t="s">
        <v>276</v>
      </c>
      <c r="C45" s="17"/>
    </row>
    <row r="46" spans="1:3" ht="12.75">
      <c r="A46" s="38" t="s">
        <v>279</v>
      </c>
      <c r="B46" t="s">
        <v>278</v>
      </c>
      <c r="C46" s="17"/>
    </row>
    <row r="47" spans="1:3" ht="12.75">
      <c r="A47" s="38" t="s">
        <v>281</v>
      </c>
      <c r="B47" t="s">
        <v>280</v>
      </c>
      <c r="C47" s="17"/>
    </row>
    <row r="48" spans="1:3" ht="12.75">
      <c r="A48" s="38" t="s">
        <v>283</v>
      </c>
      <c r="B48" t="s">
        <v>282</v>
      </c>
      <c r="C48" s="17"/>
    </row>
    <row r="49" spans="1:3" ht="12.75">
      <c r="A49" s="38" t="s">
        <v>285</v>
      </c>
      <c r="B49" t="s">
        <v>284</v>
      </c>
      <c r="C49" s="17"/>
    </row>
    <row r="50" spans="1:3" ht="12.75">
      <c r="A50" t="s">
        <v>104</v>
      </c>
      <c r="B50" t="s">
        <v>104</v>
      </c>
      <c r="C50" s="17"/>
    </row>
    <row r="51" spans="1:3" ht="12.75">
      <c r="A51" t="s">
        <v>114</v>
      </c>
      <c r="B51" t="s">
        <v>113</v>
      </c>
      <c r="C51" s="17"/>
    </row>
    <row r="52" spans="1:3" ht="12.75">
      <c r="A52" t="s">
        <v>15</v>
      </c>
      <c r="B52" t="s">
        <v>15</v>
      </c>
      <c r="C52" s="17"/>
    </row>
    <row r="53" spans="1:3" ht="12.75">
      <c r="A53" t="s">
        <v>81</v>
      </c>
      <c r="B53" t="s">
        <v>80</v>
      </c>
      <c r="C53" s="17"/>
    </row>
    <row r="54" spans="1:3" ht="12.75">
      <c r="A54" t="s">
        <v>93</v>
      </c>
      <c r="B54" t="s">
        <v>93</v>
      </c>
      <c r="C54" s="17"/>
    </row>
    <row r="55" spans="1:3" ht="12.75">
      <c r="A55" t="s">
        <v>108</v>
      </c>
      <c r="B55" t="s">
        <v>108</v>
      </c>
      <c r="C55" s="18"/>
    </row>
    <row r="56" spans="1:3" ht="12.75">
      <c r="A56" t="s">
        <v>85</v>
      </c>
      <c r="B56" t="s">
        <v>85</v>
      </c>
      <c r="C56" s="18"/>
    </row>
    <row r="57" spans="1:3" ht="12.75">
      <c r="A57" t="s">
        <v>16</v>
      </c>
      <c r="B57" t="s">
        <v>16</v>
      </c>
      <c r="C57" s="17"/>
    </row>
    <row r="58" spans="1:3" ht="12.75">
      <c r="A58" t="s">
        <v>17</v>
      </c>
      <c r="B58" t="s">
        <v>17</v>
      </c>
      <c r="C58" s="17"/>
    </row>
    <row r="59" spans="1:3" ht="12.75">
      <c r="A59" t="s">
        <v>79</v>
      </c>
      <c r="B59" t="s">
        <v>78</v>
      </c>
      <c r="C59" s="18"/>
    </row>
    <row r="60" spans="1:3" ht="12.75">
      <c r="A60" t="s">
        <v>92</v>
      </c>
      <c r="B60" t="s">
        <v>92</v>
      </c>
      <c r="C60" s="17"/>
    </row>
    <row r="61" spans="1:3" ht="12.75">
      <c r="A61" t="s">
        <v>100</v>
      </c>
      <c r="B61" t="s">
        <v>100</v>
      </c>
      <c r="C61" s="17"/>
    </row>
    <row r="62" spans="1:3" ht="12.75">
      <c r="A62" s="38" t="s">
        <v>122</v>
      </c>
      <c r="B62" t="s">
        <v>286</v>
      </c>
      <c r="C62" s="17"/>
    </row>
    <row r="63" spans="1:3" ht="12.75">
      <c r="A63" t="s">
        <v>287</v>
      </c>
      <c r="B63" t="s">
        <v>287</v>
      </c>
      <c r="C63" s="17"/>
    </row>
    <row r="64" spans="1:3" ht="12.75">
      <c r="A64" t="s">
        <v>288</v>
      </c>
      <c r="B64" t="s">
        <v>288</v>
      </c>
      <c r="C64" s="17"/>
    </row>
    <row r="65" spans="1:3" ht="12.75">
      <c r="A65" t="s">
        <v>289</v>
      </c>
      <c r="B65" t="s">
        <v>289</v>
      </c>
      <c r="C65" s="17"/>
    </row>
    <row r="66" spans="1:3" ht="12.75">
      <c r="A66" t="s">
        <v>290</v>
      </c>
      <c r="B66" t="s">
        <v>290</v>
      </c>
      <c r="C66" s="17"/>
    </row>
    <row r="67" spans="1:3" ht="12.75">
      <c r="A67" t="s">
        <v>291</v>
      </c>
      <c r="B67" t="s">
        <v>291</v>
      </c>
      <c r="C67" s="17"/>
    </row>
    <row r="68" spans="1:3" ht="12.75">
      <c r="A68" t="s">
        <v>292</v>
      </c>
      <c r="B68" t="s">
        <v>292</v>
      </c>
      <c r="C68" s="17"/>
    </row>
    <row r="69" spans="1:2" ht="12.75">
      <c r="A69" t="s">
        <v>293</v>
      </c>
      <c r="B69" t="s">
        <v>293</v>
      </c>
    </row>
    <row r="70" spans="1:2" ht="12.75">
      <c r="A70" t="s">
        <v>294</v>
      </c>
      <c r="B70" t="s">
        <v>294</v>
      </c>
    </row>
    <row r="71" spans="1:2" ht="12.75">
      <c r="A71" s="38" t="s">
        <v>161</v>
      </c>
      <c r="B71" t="s">
        <v>295</v>
      </c>
    </row>
    <row r="72" spans="1:2" ht="12.75">
      <c r="A72" s="38" t="s">
        <v>297</v>
      </c>
      <c r="B72" t="s">
        <v>296</v>
      </c>
    </row>
    <row r="73" spans="1:2" ht="12.75">
      <c r="A73" t="s">
        <v>298</v>
      </c>
      <c r="B73" t="s">
        <v>298</v>
      </c>
    </row>
    <row r="74" spans="1:2" ht="12.75">
      <c r="A74" s="38" t="s">
        <v>300</v>
      </c>
      <c r="B74" t="s">
        <v>299</v>
      </c>
    </row>
    <row r="75" spans="1:2" ht="12.75">
      <c r="A75" s="38" t="s">
        <v>302</v>
      </c>
      <c r="B75" t="s">
        <v>301</v>
      </c>
    </row>
    <row r="76" spans="1:2" ht="12.75">
      <c r="A76" s="38" t="s">
        <v>304</v>
      </c>
      <c r="B76" t="s">
        <v>303</v>
      </c>
    </row>
    <row r="77" spans="1:2" ht="12.75">
      <c r="A77" s="38" t="s">
        <v>306</v>
      </c>
      <c r="B77" t="s">
        <v>305</v>
      </c>
    </row>
    <row r="78" spans="1:2" ht="12.75">
      <c r="A78" s="38" t="s">
        <v>308</v>
      </c>
      <c r="B78" t="s">
        <v>307</v>
      </c>
    </row>
    <row r="79" spans="1:2" ht="12.75">
      <c r="A79" s="38" t="s">
        <v>310</v>
      </c>
      <c r="B79" t="s">
        <v>309</v>
      </c>
    </row>
    <row r="80" spans="1:2" ht="12.75">
      <c r="A80" s="38" t="s">
        <v>312</v>
      </c>
      <c r="B80" t="s">
        <v>311</v>
      </c>
    </row>
    <row r="81" spans="1:2" ht="12.75">
      <c r="A81" s="38" t="s">
        <v>314</v>
      </c>
      <c r="B81" t="s">
        <v>313</v>
      </c>
    </row>
    <row r="82" spans="1:2" ht="12.75">
      <c r="A82" s="38" t="s">
        <v>316</v>
      </c>
      <c r="B82" t="s">
        <v>315</v>
      </c>
    </row>
    <row r="83" spans="1:2" ht="12.75">
      <c r="A83" t="s">
        <v>112</v>
      </c>
      <c r="B83" t="s">
        <v>112</v>
      </c>
    </row>
    <row r="84" spans="1:2" ht="12.75">
      <c r="A84" s="38" t="s">
        <v>318</v>
      </c>
      <c r="B84" t="s">
        <v>317</v>
      </c>
    </row>
    <row r="85" spans="1:2" ht="12.75">
      <c r="A85" s="38" t="s">
        <v>320</v>
      </c>
      <c r="B85" t="s">
        <v>319</v>
      </c>
    </row>
    <row r="86" spans="1:2" ht="12.75">
      <c r="A86" t="s">
        <v>18</v>
      </c>
      <c r="B86" t="s">
        <v>18</v>
      </c>
    </row>
    <row r="87" spans="1:2" ht="12.75">
      <c r="A87" t="s">
        <v>19</v>
      </c>
      <c r="B87" t="s">
        <v>19</v>
      </c>
    </row>
    <row r="88" spans="1:2" ht="12.75">
      <c r="A88" s="38" t="s">
        <v>101</v>
      </c>
      <c r="B88" t="s">
        <v>321</v>
      </c>
    </row>
    <row r="89" spans="1:2" ht="12.75">
      <c r="A89" t="s">
        <v>322</v>
      </c>
      <c r="B89" t="s">
        <v>322</v>
      </c>
    </row>
    <row r="90" spans="1:2" ht="12.75">
      <c r="A90" t="s">
        <v>5</v>
      </c>
      <c r="B90" t="s">
        <v>5</v>
      </c>
    </row>
    <row r="91" spans="1:2" ht="12.75">
      <c r="A91" t="s">
        <v>96</v>
      </c>
      <c r="B91" t="s">
        <v>96</v>
      </c>
    </row>
    <row r="92" spans="1:2" ht="12.75">
      <c r="A92" s="38" t="s">
        <v>162</v>
      </c>
      <c r="B92" t="s">
        <v>323</v>
      </c>
    </row>
    <row r="93" spans="1:2" ht="12.75">
      <c r="A93" s="38" t="s">
        <v>163</v>
      </c>
      <c r="B93" t="s">
        <v>324</v>
      </c>
    </row>
    <row r="94" spans="1:2" ht="12.75">
      <c r="A94" s="38" t="s">
        <v>164</v>
      </c>
      <c r="B94" t="s">
        <v>325</v>
      </c>
    </row>
    <row r="95" spans="1:2" ht="12.75">
      <c r="A95" s="38" t="s">
        <v>165</v>
      </c>
      <c r="B95" t="s">
        <v>326</v>
      </c>
    </row>
    <row r="96" spans="1:2" ht="12.75">
      <c r="A96" s="38" t="s">
        <v>111</v>
      </c>
      <c r="B96" t="s">
        <v>327</v>
      </c>
    </row>
    <row r="97" spans="1:2" ht="12.75">
      <c r="A97" t="s">
        <v>20</v>
      </c>
      <c r="B97" t="s">
        <v>20</v>
      </c>
    </row>
    <row r="98" spans="1:2" ht="12.75">
      <c r="A98" s="38" t="s">
        <v>116</v>
      </c>
      <c r="B98" t="s">
        <v>115</v>
      </c>
    </row>
    <row r="99" spans="1:2" ht="12.75">
      <c r="A99" t="s">
        <v>105</v>
      </c>
      <c r="B99" t="s">
        <v>105</v>
      </c>
    </row>
    <row r="100" spans="1:2" ht="12.75">
      <c r="A100" s="38" t="s">
        <v>329</v>
      </c>
      <c r="B100" t="s">
        <v>328</v>
      </c>
    </row>
    <row r="101" spans="1:2" ht="12.75">
      <c r="A101" t="s">
        <v>21</v>
      </c>
      <c r="B101" t="s">
        <v>21</v>
      </c>
    </row>
    <row r="102" spans="1:2" ht="12.75">
      <c r="A102" s="38" t="s">
        <v>331</v>
      </c>
      <c r="B102" t="s">
        <v>330</v>
      </c>
    </row>
    <row r="103" spans="1:2" ht="12.75">
      <c r="A103" s="38" t="s">
        <v>333</v>
      </c>
      <c r="B103" t="s">
        <v>332</v>
      </c>
    </row>
    <row r="104" spans="1:2" ht="12.75">
      <c r="A104" s="38" t="s">
        <v>335</v>
      </c>
      <c r="B104" t="s">
        <v>334</v>
      </c>
    </row>
    <row r="105" spans="1:2" ht="12.75">
      <c r="A105" s="38" t="s">
        <v>337</v>
      </c>
      <c r="B105" t="s">
        <v>336</v>
      </c>
    </row>
    <row r="106" spans="1:2" ht="12.75">
      <c r="A106" s="38" t="s">
        <v>339</v>
      </c>
      <c r="B106" t="s">
        <v>338</v>
      </c>
    </row>
    <row r="107" spans="1:2" ht="12.75">
      <c r="A107" s="38" t="s">
        <v>341</v>
      </c>
      <c r="B107" t="s">
        <v>340</v>
      </c>
    </row>
    <row r="108" spans="1:2" ht="12.75">
      <c r="A108" s="38" t="s">
        <v>343</v>
      </c>
      <c r="B108" t="s">
        <v>342</v>
      </c>
    </row>
    <row r="109" spans="1:2" ht="12.75">
      <c r="A109" s="38" t="s">
        <v>345</v>
      </c>
      <c r="B109" t="s">
        <v>344</v>
      </c>
    </row>
    <row r="110" spans="1:2" ht="12.75">
      <c r="A110" t="s">
        <v>98</v>
      </c>
      <c r="B110" t="s">
        <v>98</v>
      </c>
    </row>
    <row r="111" spans="1:2" ht="12.75">
      <c r="A111" t="s">
        <v>90</v>
      </c>
      <c r="B111" t="s">
        <v>90</v>
      </c>
    </row>
    <row r="112" spans="1:2" ht="12.75">
      <c r="A112" t="s">
        <v>22</v>
      </c>
      <c r="B112" t="s">
        <v>22</v>
      </c>
    </row>
    <row r="113" spans="1:2" ht="12.75">
      <c r="A113" s="38" t="s">
        <v>347</v>
      </c>
      <c r="B113" t="s">
        <v>346</v>
      </c>
    </row>
    <row r="114" spans="1:2" ht="12.75">
      <c r="A114" s="38" t="s">
        <v>349</v>
      </c>
      <c r="B114" t="s">
        <v>348</v>
      </c>
    </row>
    <row r="115" spans="1:2" ht="12.75">
      <c r="A115" s="38" t="s">
        <v>201</v>
      </c>
      <c r="B115" t="s">
        <v>199</v>
      </c>
    </row>
    <row r="116" spans="1:2" ht="12.75">
      <c r="A116" t="s">
        <v>350</v>
      </c>
      <c r="B116" t="s">
        <v>350</v>
      </c>
    </row>
    <row r="117" spans="1:2" ht="12.75">
      <c r="A117" s="38" t="s">
        <v>352</v>
      </c>
      <c r="B117" t="s">
        <v>351</v>
      </c>
    </row>
    <row r="118" spans="1:2" ht="12.75">
      <c r="A118" s="38" t="s">
        <v>354</v>
      </c>
      <c r="B118" t="s">
        <v>353</v>
      </c>
    </row>
    <row r="119" spans="1:2" ht="12.75">
      <c r="A119" s="38" t="s">
        <v>356</v>
      </c>
      <c r="B119" t="s">
        <v>355</v>
      </c>
    </row>
    <row r="120" spans="1:2" ht="12.75">
      <c r="A120" s="38" t="s">
        <v>358</v>
      </c>
      <c r="B120" t="s">
        <v>357</v>
      </c>
    </row>
    <row r="121" spans="1:2" ht="12.75">
      <c r="A121" s="38" t="s">
        <v>360</v>
      </c>
      <c r="B121" t="s">
        <v>359</v>
      </c>
    </row>
    <row r="122" spans="1:2" ht="12.75">
      <c r="A122" s="38" t="s">
        <v>362</v>
      </c>
      <c r="B122" t="s">
        <v>361</v>
      </c>
    </row>
    <row r="123" spans="1:2" ht="12.75">
      <c r="A123" s="38" t="s">
        <v>364</v>
      </c>
      <c r="B123" t="s">
        <v>363</v>
      </c>
    </row>
    <row r="124" spans="1:2" ht="12.75">
      <c r="A124" t="s">
        <v>365</v>
      </c>
      <c r="B124" t="s">
        <v>365</v>
      </c>
    </row>
    <row r="125" spans="1:2" ht="12.75">
      <c r="A125" t="s">
        <v>107</v>
      </c>
      <c r="B125" t="s">
        <v>107</v>
      </c>
    </row>
    <row r="126" spans="1:2" ht="12.75">
      <c r="A126" t="s">
        <v>23</v>
      </c>
      <c r="B126" t="s">
        <v>23</v>
      </c>
    </row>
    <row r="127" spans="1:2" ht="12.75">
      <c r="A127" t="s">
        <v>366</v>
      </c>
      <c r="B127" t="s">
        <v>366</v>
      </c>
    </row>
    <row r="128" spans="1:2" ht="12.75">
      <c r="A128" s="38" t="s">
        <v>166</v>
      </c>
      <c r="B128" t="s">
        <v>167</v>
      </c>
    </row>
    <row r="129" spans="1:2" ht="12.75">
      <c r="A129" s="38" t="s">
        <v>368</v>
      </c>
      <c r="B129" t="s">
        <v>367</v>
      </c>
    </row>
    <row r="130" spans="1:2" ht="12.75">
      <c r="A130" s="38" t="s">
        <v>370</v>
      </c>
      <c r="B130" t="s">
        <v>369</v>
      </c>
    </row>
    <row r="131" spans="1:2" ht="12.75">
      <c r="A131" s="38" t="s">
        <v>372</v>
      </c>
      <c r="B131" t="s">
        <v>371</v>
      </c>
    </row>
    <row r="132" spans="1:2" ht="12.75">
      <c r="A132" t="s">
        <v>373</v>
      </c>
      <c r="B132" t="s">
        <v>373</v>
      </c>
    </row>
    <row r="133" spans="1:2" ht="12.75">
      <c r="A133" t="s">
        <v>119</v>
      </c>
      <c r="B133" t="s">
        <v>119</v>
      </c>
    </row>
    <row r="134" spans="1:2" ht="12.75">
      <c r="A134" t="s">
        <v>1</v>
      </c>
      <c r="B134" t="s">
        <v>1</v>
      </c>
    </row>
    <row r="135" spans="1:2" ht="12.75">
      <c r="A135" s="38" t="s">
        <v>375</v>
      </c>
      <c r="B135" t="s">
        <v>374</v>
      </c>
    </row>
    <row r="136" spans="1:2" ht="12.75">
      <c r="A136" t="s">
        <v>95</v>
      </c>
      <c r="B136" t="s">
        <v>95</v>
      </c>
    </row>
    <row r="137" spans="1:2" ht="12.75">
      <c r="A137" s="38" t="s">
        <v>121</v>
      </c>
      <c r="B137" t="s">
        <v>376</v>
      </c>
    </row>
    <row r="138" spans="1:2" ht="12.75">
      <c r="A138" t="s">
        <v>378</v>
      </c>
      <c r="B138" t="s">
        <v>377</v>
      </c>
    </row>
    <row r="139" spans="1:2" ht="12.75">
      <c r="A139" t="s">
        <v>24</v>
      </c>
      <c r="B139" t="s">
        <v>24</v>
      </c>
    </row>
    <row r="140" spans="1:2" ht="12.75">
      <c r="A140" s="38" t="s">
        <v>168</v>
      </c>
      <c r="B140" t="s">
        <v>169</v>
      </c>
    </row>
    <row r="141" spans="1:2" ht="12.75">
      <c r="A141" t="s">
        <v>379</v>
      </c>
      <c r="B141" t="s">
        <v>379</v>
      </c>
    </row>
    <row r="142" spans="1:2" ht="12.75">
      <c r="A142" t="s">
        <v>25</v>
      </c>
      <c r="B142" t="s">
        <v>25</v>
      </c>
    </row>
    <row r="143" spans="1:2" ht="12.75">
      <c r="A143" t="s">
        <v>381</v>
      </c>
      <c r="B143" t="s">
        <v>380</v>
      </c>
    </row>
    <row r="144" spans="1:2" ht="12.75">
      <c r="A144" s="38" t="s">
        <v>383</v>
      </c>
      <c r="B144" t="s">
        <v>382</v>
      </c>
    </row>
    <row r="145" spans="1:2" ht="12.75">
      <c r="A145" t="s">
        <v>103</v>
      </c>
      <c r="B145" t="s">
        <v>103</v>
      </c>
    </row>
    <row r="146" spans="1:2" ht="12.75">
      <c r="A146" t="s">
        <v>106</v>
      </c>
      <c r="B146" t="s">
        <v>106</v>
      </c>
    </row>
    <row r="147" spans="1:2" ht="12.75">
      <c r="A147" s="38" t="s">
        <v>170</v>
      </c>
      <c r="B147" t="s">
        <v>384</v>
      </c>
    </row>
    <row r="148" spans="1:2" ht="12.75">
      <c r="A148" s="38" t="s">
        <v>171</v>
      </c>
      <c r="B148" t="s">
        <v>385</v>
      </c>
    </row>
    <row r="149" spans="1:2" ht="12.75">
      <c r="A149" s="38" t="s">
        <v>387</v>
      </c>
      <c r="B149" t="s">
        <v>386</v>
      </c>
    </row>
    <row r="150" spans="1:2" ht="12.75">
      <c r="A150" s="38" t="s">
        <v>172</v>
      </c>
      <c r="B150" t="s">
        <v>388</v>
      </c>
    </row>
    <row r="151" spans="1:2" ht="12.75">
      <c r="A151" s="38" t="s">
        <v>173</v>
      </c>
      <c r="B151" t="s">
        <v>389</v>
      </c>
    </row>
    <row r="152" spans="1:2" ht="12.75">
      <c r="A152" s="38" t="s">
        <v>391</v>
      </c>
      <c r="B152" t="s">
        <v>390</v>
      </c>
    </row>
    <row r="153" spans="1:2" ht="12.75">
      <c r="A153" s="38" t="s">
        <v>393</v>
      </c>
      <c r="B153" t="s">
        <v>392</v>
      </c>
    </row>
    <row r="154" spans="1:2" ht="12.75">
      <c r="A154" s="38" t="s">
        <v>176</v>
      </c>
      <c r="B154" t="s">
        <v>394</v>
      </c>
    </row>
    <row r="155" spans="1:2" ht="12.75">
      <c r="A155" s="38" t="s">
        <v>174</v>
      </c>
      <c r="B155" t="s">
        <v>395</v>
      </c>
    </row>
    <row r="156" spans="1:2" ht="12.75">
      <c r="A156" s="38" t="s">
        <v>175</v>
      </c>
      <c r="B156" t="s">
        <v>396</v>
      </c>
    </row>
    <row r="157" spans="1:2" ht="12.75">
      <c r="A157" s="38" t="s">
        <v>398</v>
      </c>
      <c r="B157" t="s">
        <v>397</v>
      </c>
    </row>
    <row r="158" spans="1:2" ht="12.75">
      <c r="A158" t="s">
        <v>84</v>
      </c>
      <c r="B158" t="s">
        <v>399</v>
      </c>
    </row>
    <row r="159" spans="1:2" ht="12.75">
      <c r="A159" t="s">
        <v>102</v>
      </c>
      <c r="B159" t="s">
        <v>2</v>
      </c>
    </row>
    <row r="160" spans="1:2" ht="12.75">
      <c r="A160" s="38" t="s">
        <v>401</v>
      </c>
      <c r="B160" t="s">
        <v>400</v>
      </c>
    </row>
    <row r="161" spans="1:2" ht="12.75">
      <c r="A161" t="s">
        <v>403</v>
      </c>
      <c r="B161" t="s">
        <v>402</v>
      </c>
    </row>
    <row r="162" spans="1:2" ht="12.75">
      <c r="A162" t="s">
        <v>26</v>
      </c>
      <c r="B162" t="s">
        <v>26</v>
      </c>
    </row>
    <row r="163" spans="1:2" ht="12.75">
      <c r="A163" s="38" t="s">
        <v>89</v>
      </c>
      <c r="B163" t="s">
        <v>88</v>
      </c>
    </row>
    <row r="164" spans="1:2" ht="12.75">
      <c r="A164" s="38" t="s">
        <v>200</v>
      </c>
      <c r="B164" t="s">
        <v>198</v>
      </c>
    </row>
    <row r="165" spans="1:2" ht="12.75">
      <c r="A165" s="38" t="s">
        <v>405</v>
      </c>
      <c r="B165" t="s">
        <v>404</v>
      </c>
    </row>
    <row r="166" spans="1:2" ht="12.75">
      <c r="A166" s="38" t="s">
        <v>407</v>
      </c>
      <c r="B166" t="s">
        <v>406</v>
      </c>
    </row>
    <row r="167" spans="1:2" ht="12.75">
      <c r="A167" s="38" t="s">
        <v>409</v>
      </c>
      <c r="B167" t="s">
        <v>408</v>
      </c>
    </row>
    <row r="168" spans="1:2" ht="12.75">
      <c r="A168" t="s">
        <v>27</v>
      </c>
      <c r="B168" t="s">
        <v>27</v>
      </c>
    </row>
    <row r="169" spans="1:2" ht="12.75">
      <c r="A169" s="38" t="s">
        <v>411</v>
      </c>
      <c r="B169" t="s">
        <v>410</v>
      </c>
    </row>
    <row r="170" spans="1:2" ht="12.75">
      <c r="A170" s="38" t="s">
        <v>87</v>
      </c>
      <c r="B170" t="s">
        <v>412</v>
      </c>
    </row>
    <row r="171" spans="1:2" ht="12.75">
      <c r="A171" s="38" t="s">
        <v>414</v>
      </c>
      <c r="B171" t="s">
        <v>413</v>
      </c>
    </row>
    <row r="172" spans="1:2" ht="12.75">
      <c r="A172" s="38" t="s">
        <v>416</v>
      </c>
      <c r="B172" t="s">
        <v>415</v>
      </c>
    </row>
    <row r="173" spans="1:2" ht="12.75">
      <c r="A173" s="38" t="s">
        <v>418</v>
      </c>
      <c r="B173" t="s">
        <v>417</v>
      </c>
    </row>
    <row r="174" spans="1:2" ht="12.75">
      <c r="A174" s="38" t="s">
        <v>420</v>
      </c>
      <c r="B174" t="s">
        <v>419</v>
      </c>
    </row>
    <row r="175" spans="1:2" ht="12.75">
      <c r="A175" t="s">
        <v>421</v>
      </c>
      <c r="B175" t="s">
        <v>421</v>
      </c>
    </row>
    <row r="176" spans="1:2" ht="12.75">
      <c r="A176" s="38" t="s">
        <v>423</v>
      </c>
      <c r="B176" t="s">
        <v>422</v>
      </c>
    </row>
    <row r="177" spans="1:2" ht="12.75">
      <c r="A177" s="38" t="s">
        <v>179</v>
      </c>
      <c r="B177" t="s">
        <v>424</v>
      </c>
    </row>
    <row r="178" spans="1:2" ht="12.75">
      <c r="A178" s="38" t="s">
        <v>177</v>
      </c>
      <c r="B178" t="s">
        <v>425</v>
      </c>
    </row>
    <row r="179" spans="1:2" ht="12.75">
      <c r="A179" s="38" t="s">
        <v>178</v>
      </c>
      <c r="B179" t="s">
        <v>426</v>
      </c>
    </row>
    <row r="180" spans="1:2" ht="12.75">
      <c r="A180" s="38" t="s">
        <v>180</v>
      </c>
      <c r="B180" t="s">
        <v>427</v>
      </c>
    </row>
    <row r="181" spans="1:2" ht="12.75">
      <c r="A181" s="38" t="s">
        <v>429</v>
      </c>
      <c r="B181" t="s">
        <v>428</v>
      </c>
    </row>
    <row r="182" spans="1:2" ht="12.75">
      <c r="A182" t="s">
        <v>430</v>
      </c>
      <c r="B182" t="s">
        <v>430</v>
      </c>
    </row>
    <row r="183" spans="1:2" ht="12.75">
      <c r="A183" t="s">
        <v>431</v>
      </c>
      <c r="B183" t="s">
        <v>431</v>
      </c>
    </row>
    <row r="184" spans="1:2" ht="12.75">
      <c r="A184" s="38" t="s">
        <v>433</v>
      </c>
      <c r="B184" t="s">
        <v>432</v>
      </c>
    </row>
    <row r="185" spans="1:2" ht="12.75">
      <c r="A185" s="38" t="s">
        <v>435</v>
      </c>
      <c r="B185" t="s">
        <v>434</v>
      </c>
    </row>
    <row r="186" spans="1:2" ht="12.75">
      <c r="A186" t="s">
        <v>99</v>
      </c>
      <c r="B186" t="s">
        <v>99</v>
      </c>
    </row>
    <row r="187" spans="1:2" ht="12.75">
      <c r="A187" t="s">
        <v>436</v>
      </c>
      <c r="B187" t="s">
        <v>436</v>
      </c>
    </row>
    <row r="188" spans="1:2" ht="12.75">
      <c r="A188" t="s">
        <v>438</v>
      </c>
      <c r="B188" t="s">
        <v>437</v>
      </c>
    </row>
    <row r="189" spans="1:2" ht="12.75">
      <c r="A189" s="38" t="s">
        <v>181</v>
      </c>
      <c r="B189" t="s">
        <v>182</v>
      </c>
    </row>
    <row r="190" spans="1:2" ht="12.75">
      <c r="A190" t="s">
        <v>439</v>
      </c>
      <c r="B190" t="s">
        <v>439</v>
      </c>
    </row>
    <row r="191" spans="1:2" ht="12.75">
      <c r="A191" t="s">
        <v>440</v>
      </c>
      <c r="B191" t="s">
        <v>440</v>
      </c>
    </row>
    <row r="192" spans="1:2" ht="12.75">
      <c r="A192" t="s">
        <v>28</v>
      </c>
      <c r="B192" t="s">
        <v>28</v>
      </c>
    </row>
    <row r="193" spans="1:2" ht="12.75">
      <c r="A193" s="38" t="s">
        <v>442</v>
      </c>
      <c r="B193" t="s">
        <v>441</v>
      </c>
    </row>
    <row r="194" spans="1:2" ht="12.75">
      <c r="A194" s="38" t="s">
        <v>184</v>
      </c>
      <c r="B194" t="s">
        <v>443</v>
      </c>
    </row>
    <row r="195" spans="1:2" ht="12.75">
      <c r="A195" s="38" t="s">
        <v>185</v>
      </c>
      <c r="B195" t="s">
        <v>444</v>
      </c>
    </row>
    <row r="196" spans="1:2" ht="12.75">
      <c r="A196" s="38" t="s">
        <v>186</v>
      </c>
      <c r="B196" t="s">
        <v>445</v>
      </c>
    </row>
    <row r="197" spans="1:2" ht="12.75">
      <c r="A197" s="38" t="s">
        <v>187</v>
      </c>
      <c r="B197" t="s">
        <v>446</v>
      </c>
    </row>
    <row r="198" spans="1:2" ht="12.75">
      <c r="A198" s="38" t="s">
        <v>188</v>
      </c>
      <c r="B198" t="s">
        <v>447</v>
      </c>
    </row>
    <row r="199" spans="1:2" ht="12.75">
      <c r="A199" s="38" t="s">
        <v>183</v>
      </c>
      <c r="B199" t="s">
        <v>448</v>
      </c>
    </row>
    <row r="200" spans="1:2" ht="12.75">
      <c r="A200" s="38" t="s">
        <v>450</v>
      </c>
      <c r="B200" t="s">
        <v>449</v>
      </c>
    </row>
    <row r="201" spans="1:2" ht="12.75">
      <c r="A201" s="38" t="s">
        <v>452</v>
      </c>
      <c r="B201" t="s">
        <v>451</v>
      </c>
    </row>
    <row r="202" spans="1:2" ht="12.75">
      <c r="A202" t="s">
        <v>97</v>
      </c>
      <c r="B202" t="s">
        <v>97</v>
      </c>
    </row>
    <row r="203" spans="1:2" ht="12.75">
      <c r="A203" t="s">
        <v>454</v>
      </c>
      <c r="B203" t="s">
        <v>453</v>
      </c>
    </row>
    <row r="204" spans="1:2" ht="12.75">
      <c r="A204" t="s">
        <v>455</v>
      </c>
      <c r="B204" t="s">
        <v>455</v>
      </c>
    </row>
    <row r="205" spans="1:2" ht="12.75">
      <c r="A205" t="s">
        <v>120</v>
      </c>
      <c r="B205" t="s">
        <v>120</v>
      </c>
    </row>
    <row r="206" spans="1:2" ht="12.75">
      <c r="A206" t="s">
        <v>29</v>
      </c>
      <c r="B206" t="s">
        <v>29</v>
      </c>
    </row>
    <row r="207" spans="1:2" ht="12.75">
      <c r="A207" t="s">
        <v>457</v>
      </c>
      <c r="B207" t="s">
        <v>456</v>
      </c>
    </row>
    <row r="208" spans="1:2" ht="12.75">
      <c r="A208" s="38" t="s">
        <v>459</v>
      </c>
      <c r="B208" t="s">
        <v>458</v>
      </c>
    </row>
    <row r="209" spans="1:2" ht="12.75">
      <c r="A209" s="38" t="s">
        <v>77</v>
      </c>
      <c r="B209" t="s">
        <v>76</v>
      </c>
    </row>
    <row r="210" spans="1:2" ht="12.75">
      <c r="A210" s="38" t="s">
        <v>94</v>
      </c>
      <c r="B210" t="s">
        <v>30</v>
      </c>
    </row>
    <row r="211" spans="1:2" ht="12.75">
      <c r="A211" s="38" t="s">
        <v>461</v>
      </c>
      <c r="B211" t="s">
        <v>460</v>
      </c>
    </row>
    <row r="212" spans="1:2" ht="12.75">
      <c r="A212" s="38" t="s">
        <v>118</v>
      </c>
      <c r="B212" t="s">
        <v>117</v>
      </c>
    </row>
    <row r="213" spans="1:2" ht="12.75">
      <c r="A213" t="s">
        <v>462</v>
      </c>
      <c r="B213" t="s">
        <v>462</v>
      </c>
    </row>
    <row r="214" spans="1:2" ht="12.75">
      <c r="A214" s="38" t="s">
        <v>190</v>
      </c>
      <c r="B214" t="s">
        <v>463</v>
      </c>
    </row>
    <row r="215" spans="1:2" ht="12.75">
      <c r="A215" s="38" t="s">
        <v>191</v>
      </c>
      <c r="B215" t="s">
        <v>464</v>
      </c>
    </row>
    <row r="216" spans="1:2" ht="12.75">
      <c r="A216" s="38" t="s">
        <v>189</v>
      </c>
      <c r="B216" t="s">
        <v>465</v>
      </c>
    </row>
    <row r="217" spans="1:2" ht="12.75">
      <c r="A217" s="38" t="s">
        <v>192</v>
      </c>
      <c r="B217" t="s">
        <v>466</v>
      </c>
    </row>
    <row r="218" spans="1:2" ht="12.75">
      <c r="A218" s="38" t="s">
        <v>193</v>
      </c>
      <c r="B218" t="s">
        <v>467</v>
      </c>
    </row>
    <row r="219" spans="1:2" ht="12.75">
      <c r="A219" t="s">
        <v>4</v>
      </c>
      <c r="B219" t="s">
        <v>4</v>
      </c>
    </row>
    <row r="220" spans="1:2" ht="12.75">
      <c r="A220" t="s">
        <v>468</v>
      </c>
      <c r="B220" t="s">
        <v>468</v>
      </c>
    </row>
    <row r="221" spans="1:2" ht="12.75">
      <c r="A221" t="s">
        <v>91</v>
      </c>
      <c r="B221" t="s">
        <v>91</v>
      </c>
    </row>
    <row r="222" spans="1:2" ht="12.75">
      <c r="A222" s="38" t="s">
        <v>194</v>
      </c>
      <c r="B222" t="s">
        <v>469</v>
      </c>
    </row>
    <row r="223" spans="1:2" ht="12.75">
      <c r="A223" s="38" t="s">
        <v>471</v>
      </c>
      <c r="B223" t="s">
        <v>470</v>
      </c>
    </row>
    <row r="224" spans="1:2" ht="12.75">
      <c r="A224" s="38" t="s">
        <v>473</v>
      </c>
      <c r="B224" t="s">
        <v>472</v>
      </c>
    </row>
    <row r="225" spans="1:2" ht="12.75">
      <c r="A225" s="38" t="s">
        <v>197</v>
      </c>
      <c r="B225" t="s">
        <v>474</v>
      </c>
    </row>
    <row r="226" spans="1:2" ht="12.75">
      <c r="A226" s="38" t="s">
        <v>195</v>
      </c>
      <c r="B226" t="s">
        <v>475</v>
      </c>
    </row>
    <row r="227" spans="1:2" ht="12.75">
      <c r="A227" s="38" t="s">
        <v>196</v>
      </c>
      <c r="B227" t="s">
        <v>476</v>
      </c>
    </row>
  </sheetData>
  <sheetProtection/>
  <mergeCells count="2">
    <mergeCell ref="A12:B12"/>
    <mergeCell ref="A5:C5"/>
  </mergeCells>
  <hyperlinks>
    <hyperlink ref="A1" location="'Normal Links'!A1" display="Click For Main Page"/>
  </hyperlink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8.8515625" style="0" customWidth="1"/>
    <col min="3" max="3" width="15.8515625" style="0" customWidth="1"/>
  </cols>
  <sheetData>
    <row r="1" ht="12.75">
      <c r="A1" s="11" t="s">
        <v>69</v>
      </c>
    </row>
    <row r="3" spans="1:9" ht="12.75">
      <c r="A3" s="43" t="s">
        <v>72</v>
      </c>
      <c r="B3" s="43"/>
      <c r="C3" s="43"/>
      <c r="D3" s="43"/>
      <c r="E3" s="43"/>
      <c r="F3" s="43"/>
      <c r="G3" s="43"/>
      <c r="H3" s="43"/>
      <c r="I3" s="43"/>
    </row>
    <row r="5" ht="12.75">
      <c r="A5" t="s">
        <v>202</v>
      </c>
    </row>
    <row r="6" ht="13.5" thickBot="1"/>
    <row r="7" ht="18.75" thickBot="1">
      <c r="A7" s="30" t="s">
        <v>203</v>
      </c>
    </row>
    <row r="9" spans="1:3" ht="12.75">
      <c r="A9" s="33" t="s">
        <v>205</v>
      </c>
      <c r="C9" s="33" t="s">
        <v>213</v>
      </c>
    </row>
    <row r="10" spans="1:13" ht="12.75">
      <c r="A10" s="33" t="s">
        <v>206</v>
      </c>
      <c r="D10" s="44" t="s">
        <v>59</v>
      </c>
      <c r="E10" s="44"/>
      <c r="F10" s="44"/>
      <c r="G10" s="44"/>
      <c r="H10" s="44"/>
      <c r="I10" s="44" t="s">
        <v>61</v>
      </c>
      <c r="J10" s="44"/>
      <c r="K10" s="44"/>
      <c r="L10" s="44"/>
      <c r="M10" s="44"/>
    </row>
    <row r="11" spans="1:13" ht="12.75">
      <c r="A11" s="33" t="s">
        <v>207</v>
      </c>
      <c r="D11" t="s">
        <v>0</v>
      </c>
      <c r="E11" t="s">
        <v>26</v>
      </c>
      <c r="F11" t="s">
        <v>23</v>
      </c>
      <c r="G11" t="s">
        <v>24</v>
      </c>
      <c r="H11" t="s">
        <v>86</v>
      </c>
      <c r="I11" t="s">
        <v>0</v>
      </c>
      <c r="J11" t="s">
        <v>26</v>
      </c>
      <c r="K11" t="s">
        <v>23</v>
      </c>
      <c r="L11" t="s">
        <v>24</v>
      </c>
      <c r="M11" t="s">
        <v>86</v>
      </c>
    </row>
    <row r="12" spans="1:13" ht="12.75">
      <c r="A12" s="31" t="s">
        <v>204</v>
      </c>
      <c r="C12" s="34">
        <v>39995</v>
      </c>
      <c r="D12" t="str">
        <f>_xlfn.RTD("esrtd",,"*H","MSFT","Symbol","D",C12,)</f>
        <v>MSFT</v>
      </c>
      <c r="E12">
        <f>_xlfn.RTD("esrtd",,"*H","MSFT","Open","D",C12,)</f>
        <v>24.05</v>
      </c>
      <c r="F12">
        <f>_xlfn.RTD("esrtd",,"*H","MSFT","High","D",C12,)</f>
        <v>24.3</v>
      </c>
      <c r="G12">
        <f>_xlfn.RTD("esrtd",,"*H","MSFT","Low","D",C12,)</f>
        <v>23.96001</v>
      </c>
      <c r="H12">
        <f>_xlfn.RTD("esrtd",,"*H","MSFT","Last","D",C12,)</f>
        <v>24.03999</v>
      </c>
      <c r="I12" t="str">
        <f>_xlfn.RTD("esrtd",,"*H","DELL","Symbol","D",C12,)</f>
        <v>DELL</v>
      </c>
      <c r="J12">
        <f>_xlfn.RTD("esrtd",,"*H","DELL","Open","D",C12,)</f>
        <v>13.76</v>
      </c>
      <c r="K12">
        <f>_xlfn.RTD("esrtd",,"*H","Dell","High","D",C12,)</f>
        <v>13.81</v>
      </c>
      <c r="L12">
        <f>_xlfn.RTD("esrtd",,"*H","dell","Low","D",C12,)</f>
        <v>13.35</v>
      </c>
      <c r="M12">
        <f>_xlfn.RTD("esrtd",,"*H","dell","Last","D",C12,)</f>
        <v>13.39</v>
      </c>
    </row>
    <row r="13" spans="1:13" ht="12.75">
      <c r="A13" s="32" t="s">
        <v>26</v>
      </c>
      <c r="C13" s="34">
        <v>39979</v>
      </c>
      <c r="D13" t="str">
        <f>_xlfn.RTD("esrtd",,"*H","MSFT","Symbol","D",C13,)</f>
        <v>MSFT</v>
      </c>
      <c r="E13">
        <f>_xlfn.RTD("esrtd",,"*H","MSFT","Open","D",C13,)</f>
        <v>23.23</v>
      </c>
      <c r="F13">
        <f>_xlfn.RTD("esrtd",,"*H","MSFT","High","D",C13,)</f>
        <v>23.53999</v>
      </c>
      <c r="G13">
        <f>_xlfn.RTD("esrtd",,"*H","MSFT","Low","D",C13,)</f>
        <v>23.02</v>
      </c>
      <c r="H13">
        <f>_xlfn.RTD("esrtd",,"*H","MSFT","Last","D",C13,)</f>
        <v>23.42</v>
      </c>
      <c r="I13" t="str">
        <f>_xlfn.RTD("esrtd",,"*H","DELL","Symbol","D",C13,)</f>
        <v>DELL</v>
      </c>
      <c r="J13">
        <f>_xlfn.RTD("esrtd",,"*H","DELL","Open","D",C13,)</f>
        <v>13.42</v>
      </c>
      <c r="K13">
        <f>_xlfn.RTD("esrtd",,"*H","Dell","High","D",C13,)</f>
        <v>13.49</v>
      </c>
      <c r="L13">
        <f>_xlfn.RTD("esrtd",,"*H","dell","Low","D",C13,)</f>
        <v>12.75</v>
      </c>
      <c r="M13">
        <f>_xlfn.RTD("esrtd",,"*H","dell","Last","D",C13,)</f>
        <v>12.87</v>
      </c>
    </row>
    <row r="14" spans="1:13" ht="12.75">
      <c r="A14" s="32" t="s">
        <v>23</v>
      </c>
      <c r="C14" s="34">
        <v>39965</v>
      </c>
      <c r="D14" t="str">
        <f>_xlfn.RTD("esrtd",,"*H","MSFT","Symbol","D",C14,)</f>
        <v>MSFT</v>
      </c>
      <c r="E14">
        <f>_xlfn.RTD("esrtd",,"*H","MSFT","Open","D",C14,)</f>
        <v>21</v>
      </c>
      <c r="F14">
        <f>_xlfn.RTD("esrtd",,"*H","MSFT","High","D",C14,)</f>
        <v>21.5</v>
      </c>
      <c r="G14">
        <f>_xlfn.RTD("esrtd",,"*H","MSFT","Low","D",C14,)</f>
        <v>20.86</v>
      </c>
      <c r="H14">
        <f>_xlfn.RTD("esrtd",,"*H","MSFT","Last","D",C14,)</f>
        <v>21.39999</v>
      </c>
      <c r="I14" t="str">
        <f>_xlfn.RTD("esrtd",,"*H","DELL","Symbol","D",C14,)</f>
        <v>DELL</v>
      </c>
      <c r="J14">
        <f>_xlfn.RTD("esrtd",,"*H","DELL","Open","D",C14,)</f>
        <v>11.7</v>
      </c>
      <c r="K14">
        <f>_xlfn.RTD("esrtd",,"*H","Dell","High","D",C14,)</f>
        <v>12.25</v>
      </c>
      <c r="L14">
        <f>_xlfn.RTD("esrtd",,"*H","dell","Low","D",C14,)</f>
        <v>11.68</v>
      </c>
      <c r="M14">
        <f>_xlfn.RTD("esrtd",,"*H","dell","Last","D",C14,)</f>
        <v>12.18</v>
      </c>
    </row>
    <row r="15" spans="1:13" ht="12.75">
      <c r="A15" s="32" t="s">
        <v>24</v>
      </c>
      <c r="C15" s="34">
        <v>39948</v>
      </c>
      <c r="D15" t="str">
        <f>_xlfn.RTD("esrtd",,"*H","MSFT","Symbol","D",C15,)</f>
        <v>MSFT</v>
      </c>
      <c r="E15">
        <f>_xlfn.RTD("esrtd",,"*H","MSFT","Open","D",C15,)</f>
        <v>20.13</v>
      </c>
      <c r="F15">
        <f>_xlfn.RTD("esrtd",,"*H","MSFT","High","D",C15,)</f>
        <v>20.5</v>
      </c>
      <c r="G15">
        <f>_xlfn.RTD("esrtd",,"*H","MSFT","Low","D",C15,)</f>
        <v>19.97501</v>
      </c>
      <c r="H15">
        <f>_xlfn.RTD("esrtd",,"*H","MSFT","Last","D",C15,)</f>
        <v>20.22</v>
      </c>
      <c r="I15" t="str">
        <f>_xlfn.RTD("esrtd",,"*H","DELL","Symbol","D",C15,)</f>
        <v>DELL</v>
      </c>
      <c r="J15">
        <f>_xlfn.RTD("esrtd",,"*H","DELL","Open","D",C15,)</f>
        <v>10.855</v>
      </c>
      <c r="K15">
        <f>_xlfn.RTD("esrtd",,"*H","Dell","High","D",C15,)</f>
        <v>11.1225</v>
      </c>
      <c r="L15">
        <f>_xlfn.RTD("esrtd",,"*H","dell","Low","D",C15,)</f>
        <v>10.8</v>
      </c>
      <c r="M15">
        <f>_xlfn.RTD("esrtd",,"*H","dell","Last","D",C15,)</f>
        <v>10.98</v>
      </c>
    </row>
    <row r="16" spans="1:13" ht="12.75">
      <c r="A16" s="32" t="s">
        <v>1</v>
      </c>
      <c r="C16" s="34">
        <v>39934</v>
      </c>
      <c r="D16" t="str">
        <f>_xlfn.RTD("esrtd",,"*H","MSFT","Symbol","D",C16,)</f>
        <v>MSFT</v>
      </c>
      <c r="E16">
        <f>_xlfn.RTD("esrtd",,"*H","MSFT","Open","D",C16,)</f>
        <v>20.19</v>
      </c>
      <c r="F16">
        <f>_xlfn.RTD("esrtd",,"*H","MSFT","High","D",C16,)</f>
        <v>20.35001</v>
      </c>
      <c r="G16">
        <f>_xlfn.RTD("esrtd",,"*H","MSFT","Low","D",C16,)</f>
        <v>19.8625</v>
      </c>
      <c r="H16">
        <f>_xlfn.RTD("esrtd",,"*H","MSFT","Last","D",C16,)</f>
        <v>20.24001</v>
      </c>
      <c r="I16" t="str">
        <f>_xlfn.RTD("esrtd",,"*H","DELL","Symbol","D",C16,)</f>
        <v>DELL</v>
      </c>
      <c r="J16">
        <f>_xlfn.RTD("esrtd",,"*H","DELL","Open","D",C16,)</f>
        <v>11.63</v>
      </c>
      <c r="K16">
        <f>_xlfn.RTD("esrtd",,"*H","Dell","High","D",C16,)</f>
        <v>11.91</v>
      </c>
      <c r="L16">
        <f>_xlfn.RTD("esrtd",,"*H","dell","Low","D",C16,)</f>
        <v>11.45</v>
      </c>
      <c r="M16">
        <f>_xlfn.RTD("esrtd",,"*H","dell","Last","D",C16,)</f>
        <v>11.85</v>
      </c>
    </row>
    <row r="17" spans="1:13" ht="12.75">
      <c r="A17" s="32" t="s">
        <v>89</v>
      </c>
      <c r="C17" s="34">
        <v>39918</v>
      </c>
      <c r="D17" t="str">
        <f>_xlfn.RTD("esrtd",,"*H","MSFT","Symbol","D",C17,)</f>
        <v>MSFT</v>
      </c>
      <c r="E17">
        <f>_xlfn.RTD("esrtd",,"*H","MSFT","Open","D",C17,)</f>
        <v>19.21001</v>
      </c>
      <c r="F17">
        <f>_xlfn.RTD("esrtd",,"*H","MSFT","High","D",C17,)</f>
        <v>19.25</v>
      </c>
      <c r="G17">
        <f>_xlfn.RTD("esrtd",,"*H","MSFT","Low","D",C17,)</f>
        <v>18.50999</v>
      </c>
      <c r="H17">
        <f>_xlfn.RTD("esrtd",,"*H","MSFT","Last","D",C17,)</f>
        <v>18.83</v>
      </c>
      <c r="I17" t="str">
        <f>_xlfn.RTD("esrtd",,"*H","DELL","Symbol","D",C17,)</f>
        <v>DELL</v>
      </c>
      <c r="J17">
        <f>_xlfn.RTD("esrtd",,"*H","DELL","Open","D",C17,)</f>
        <v>10.31</v>
      </c>
      <c r="K17">
        <f>_xlfn.RTD("esrtd",,"*H","Dell","High","D",C17,)</f>
        <v>10.53</v>
      </c>
      <c r="L17">
        <f>_xlfn.RTD("esrtd",,"*H","dell","Low","D",C17,)</f>
        <v>10.03</v>
      </c>
      <c r="M17">
        <f>_xlfn.RTD("esrtd",,"*H","dell","Last","D",C17,)</f>
        <v>10.2</v>
      </c>
    </row>
    <row r="18" spans="1:13" ht="12.75">
      <c r="A18" s="32" t="s">
        <v>4</v>
      </c>
      <c r="C18" s="34">
        <v>39904</v>
      </c>
      <c r="D18" t="str">
        <f>_xlfn.RTD("esrtd",,"*H","msft","symbol,","D",C18,)</f>
        <v>MSFT</v>
      </c>
      <c r="E18">
        <f>_xlfn.RTD("esrtd",,"*H","MSFT","Open","D",C18,)</f>
        <v>18.23</v>
      </c>
      <c r="F18">
        <f>_xlfn.RTD("esrtd",,"*H","MSFT","High","D",C18,)</f>
        <v>19.36</v>
      </c>
      <c r="G18">
        <f>_xlfn.RTD("esrtd",,"*H","MSFT","Low","D",C18,)</f>
        <v>18.17999</v>
      </c>
      <c r="H18">
        <f>_xlfn.RTD("esrtd",,"*H","MSFT","Last","D",C18,)</f>
        <v>19.31</v>
      </c>
      <c r="I18" t="str">
        <f>_xlfn.RTD("esrtd",,"*H","DELL","Symbol","D",C18,)</f>
        <v>DELL</v>
      </c>
      <c r="J18">
        <f>_xlfn.RTD("esrtd",,"*H","DELL","Open","D",C18,)</f>
        <v>9.33</v>
      </c>
      <c r="K18">
        <f>_xlfn.RTD("esrtd",,"*H","Dell","High","D",C18,)</f>
        <v>9.66</v>
      </c>
      <c r="L18">
        <f>_xlfn.RTD("esrtd",,"*H","dell","Low","D",C18,)</f>
        <v>9.22</v>
      </c>
      <c r="M18">
        <f>_xlfn.RTD("esrtd",,"*H","dell","Last","D",C18,)</f>
        <v>9.52</v>
      </c>
    </row>
    <row r="19" spans="1:3" ht="12.75">
      <c r="A19" s="32" t="s">
        <v>0</v>
      </c>
      <c r="C19" s="34"/>
    </row>
    <row r="20" spans="1:3" ht="12.75">
      <c r="A20" s="32" t="s">
        <v>214</v>
      </c>
      <c r="C20" s="34"/>
    </row>
    <row r="21" ht="12.75">
      <c r="A21" s="13" t="s">
        <v>208</v>
      </c>
    </row>
    <row r="22" spans="1:3" ht="12.75">
      <c r="A22" s="32" t="s">
        <v>209</v>
      </c>
      <c r="C22" s="33" t="s">
        <v>215</v>
      </c>
    </row>
    <row r="23" spans="1:8" ht="12.75">
      <c r="A23" s="32" t="s">
        <v>210</v>
      </c>
      <c r="C23" s="33"/>
      <c r="D23" s="44" t="s">
        <v>59</v>
      </c>
      <c r="E23" s="44"/>
      <c r="F23" s="44"/>
      <c r="G23" s="44"/>
      <c r="H23" s="44"/>
    </row>
    <row r="24" spans="1:8" ht="12.75">
      <c r="A24" s="32" t="s">
        <v>211</v>
      </c>
      <c r="D24" t="s">
        <v>0</v>
      </c>
      <c r="E24" t="s">
        <v>26</v>
      </c>
      <c r="F24" t="s">
        <v>23</v>
      </c>
      <c r="G24" t="s">
        <v>24</v>
      </c>
      <c r="H24" t="s">
        <v>86</v>
      </c>
    </row>
    <row r="25" spans="1:9" ht="12.75">
      <c r="A25" s="32" t="s">
        <v>212</v>
      </c>
      <c r="C25" s="34">
        <f>_xlfn.RTD("esrtd",,"*H","MSFT","BarTime","D",,1)</f>
        <v>42584.5</v>
      </c>
      <c r="D25" t="str">
        <f>_xlfn.RTD("esrtd",,"*H","MSFT","symbol","D",,1)</f>
        <v>MSFT</v>
      </c>
      <c r="E25">
        <f>_xlfn.RTD("esrtd",,"*H","MSFT","open","D",,1)</f>
        <v>56.85</v>
      </c>
      <c r="F25">
        <f>_xlfn.RTD("esrtd",,"*H","MSFT","High","D",,1)</f>
        <v>56.9</v>
      </c>
      <c r="G25">
        <f>_xlfn.RTD("esrtd",,"*H","MSFT","low","D",,1)</f>
        <v>56.31</v>
      </c>
      <c r="H25">
        <f>_xlfn.RTD("esrtd",,"*H","MSFT","last","D",,1)</f>
        <v>56.58</v>
      </c>
      <c r="I25" s="34"/>
    </row>
    <row r="26" spans="1:8" ht="12.75">
      <c r="A26" s="13" t="s">
        <v>222</v>
      </c>
      <c r="C26" s="34">
        <f>_xlfn.RTD("esrtd",,"*H","MSFT","BarTime","D",,2)</f>
        <v>42583.5</v>
      </c>
      <c r="D26" t="str">
        <f>_xlfn.RTD("esrtd",,"*H","MSFT","symbol","D",,2)</f>
        <v>MSFT</v>
      </c>
      <c r="E26">
        <f>_xlfn.RTD("esrtd",,"*H","MSFT","open","D",,2)</f>
        <v>56.6</v>
      </c>
      <c r="F26">
        <f>_xlfn.RTD("esrtd",,"*H","MSFT","High","D",,2)</f>
        <v>56.75</v>
      </c>
      <c r="G26">
        <f>_xlfn.RTD("esrtd",,"*H","MSFT","low","D",,2)</f>
        <v>56.14</v>
      </c>
      <c r="H26">
        <f>_xlfn.RTD("esrtd",,"*H","MSFT","last","D",,2)</f>
        <v>56.58</v>
      </c>
    </row>
    <row r="27" spans="1:8" ht="12.75">
      <c r="A27" s="13" t="s">
        <v>223</v>
      </c>
      <c r="C27" s="34">
        <f>_xlfn.RTD("esrtd",,"*H","MSFT","BarTime","D",,3)</f>
        <v>42580.5</v>
      </c>
      <c r="D27" t="str">
        <f>_xlfn.RTD("esrtd",,"*H","MSFT","symbol","D",,3)</f>
        <v>MSFT</v>
      </c>
      <c r="E27">
        <f>_xlfn.RTD("esrtd",,"*H","MSFT","open","D",,3)</f>
        <v>56.26</v>
      </c>
      <c r="F27">
        <f>_xlfn.RTD("esrtd",,"*H","MSFT","High","D",,3)</f>
        <v>56.76</v>
      </c>
      <c r="G27">
        <f>_xlfn.RTD("esrtd",,"*H","MSFT","low","D",,3)</f>
        <v>56.05</v>
      </c>
      <c r="H27">
        <f>_xlfn.RTD("esrtd",,"*H","MSFT","last","D",,3)</f>
        <v>56.68</v>
      </c>
    </row>
    <row r="28" spans="1:8" ht="12.75">
      <c r="A28" s="37" t="s">
        <v>218</v>
      </c>
      <c r="C28" s="34">
        <f>_xlfn.RTD("esrtd",,"*H","MSFT","BarTime","D",,4)</f>
        <v>42579.5</v>
      </c>
      <c r="D28" t="str">
        <f>_xlfn.RTD("esrtd",,"*H","MSFT","symbol","D",,4)</f>
        <v>MSFT</v>
      </c>
      <c r="E28">
        <f>_xlfn.RTD("esrtd",,"*H","MSFT","open","D",,4)</f>
        <v>56</v>
      </c>
      <c r="F28">
        <f>_xlfn.RTD("esrtd",,"*H","MSFT","High","D",,4)</f>
        <v>56.37</v>
      </c>
      <c r="G28">
        <f>_xlfn.RTD("esrtd",,"*H","MSFT","low","D",,4)</f>
        <v>55.72</v>
      </c>
      <c r="H28">
        <f>_xlfn.RTD("esrtd",,"*H","MSFT","last","D",,4)</f>
        <v>56.21</v>
      </c>
    </row>
    <row r="29" spans="3:8" ht="12.75">
      <c r="C29" s="34">
        <f>_xlfn.RTD("esrtd",,"*H","MSFT","BarTime","D",,5)</f>
        <v>42578.5</v>
      </c>
      <c r="D29" t="str">
        <f>_xlfn.RTD("esrtd",,"*H","MSFT","symbol","D",,5)</f>
        <v>MSFT</v>
      </c>
      <c r="E29">
        <f>_xlfn.RTD("esrtd",,"*H","MSFT","open","D",,5)</f>
        <v>56.61</v>
      </c>
      <c r="F29">
        <f>_xlfn.RTD("esrtd",,"*H","MSFT","High","D",,5)</f>
        <v>56.8</v>
      </c>
      <c r="G29">
        <f>_xlfn.RTD("esrtd",,"*H","MSFT","low","D",,5)</f>
        <v>56.11</v>
      </c>
      <c r="H29">
        <f>_xlfn.RTD("esrtd",,"*H","MSFT","last","D",,5)</f>
        <v>56.19</v>
      </c>
    </row>
    <row r="30" ht="12.75">
      <c r="C30" s="34"/>
    </row>
    <row r="31" ht="12.75">
      <c r="C31" s="35" t="s">
        <v>221</v>
      </c>
    </row>
    <row r="32" spans="3:8" ht="12.75">
      <c r="C32" s="34"/>
      <c r="D32" s="44" t="s">
        <v>59</v>
      </c>
      <c r="E32" s="44"/>
      <c r="F32" s="44"/>
      <c r="G32" s="44"/>
      <c r="H32" s="44"/>
    </row>
    <row r="33" spans="4:8" ht="12.75">
      <c r="D33" t="s">
        <v>0</v>
      </c>
      <c r="E33" t="s">
        <v>26</v>
      </c>
      <c r="F33" t="s">
        <v>23</v>
      </c>
      <c r="G33" t="s">
        <v>24</v>
      </c>
      <c r="H33" t="s">
        <v>86</v>
      </c>
    </row>
    <row r="34" spans="3:8" ht="12.75">
      <c r="C34" s="36">
        <f>_xlfn.RTD("esrtd",,"*H","MSFT","BarTime","I60",,1)</f>
        <v>42585.520833333336</v>
      </c>
      <c r="D34" t="str">
        <f>_xlfn.RTD("esrtd",,"*H","MSFT","symbol","i60",,1)</f>
        <v>MSFT</v>
      </c>
      <c r="E34">
        <f>_xlfn.RTD("esrtd",,"*H","MSFT","open","i60",,1)</f>
        <v>56.73</v>
      </c>
      <c r="F34">
        <f>_xlfn.RTD("esrtd",,"*H","MSFT","High","i60",,1)</f>
        <v>56.84</v>
      </c>
      <c r="G34">
        <f>_xlfn.RTD("esrtd",,"*H","MSFT","low","i60",,1)</f>
        <v>56.67</v>
      </c>
      <c r="H34">
        <f>_xlfn.RTD("esrtd",,"*H","MSFT","last","i60",,1)</f>
        <v>56.795</v>
      </c>
    </row>
    <row r="35" spans="3:8" ht="12.75">
      <c r="C35" s="36">
        <f>_xlfn.RTD("esrtd",,"*H","MSFT","BarTime","I60",,2)</f>
        <v>42585.479166666664</v>
      </c>
      <c r="D35" t="str">
        <f>_xlfn.RTD("esrtd",,"*H","MSFT","symbol","i60",,2)</f>
        <v>MSFT</v>
      </c>
      <c r="E35">
        <f>_xlfn.RTD("esrtd",,"*H","MSFT","open","i60",,2)</f>
        <v>56.78</v>
      </c>
      <c r="F35">
        <f>_xlfn.RTD("esrtd",,"*H","MSFT","High","i60",,2)</f>
        <v>56.84</v>
      </c>
      <c r="G35">
        <f>_xlfn.RTD("esrtd",,"*H","MSFT","low","i60",,2)</f>
        <v>56.715</v>
      </c>
      <c r="H35">
        <f>_xlfn.RTD("esrtd",,"*H","MSFT","last","i60",,2)</f>
        <v>56.735</v>
      </c>
    </row>
    <row r="36" spans="3:8" ht="12.75">
      <c r="C36" s="36">
        <f>_xlfn.RTD("esrtd",,"*H","MSFT","BarTime","I60",,3)</f>
        <v>42585.4375</v>
      </c>
      <c r="D36" t="str">
        <f>_xlfn.RTD("esrtd",,"*H","MSFT","symbol","i60",,3)</f>
        <v>MSFT</v>
      </c>
      <c r="E36">
        <f>_xlfn.RTD("esrtd",,"*H","MSFT","open","i60",,3)</f>
        <v>56.85</v>
      </c>
      <c r="F36">
        <f>_xlfn.RTD("esrtd",,"*H","MSFT","High","i60",,3)</f>
        <v>56.919</v>
      </c>
      <c r="G36">
        <f>_xlfn.RTD("esrtd",,"*H","MSFT","low","i60",,3)</f>
        <v>56.75</v>
      </c>
      <c r="H36">
        <f>_xlfn.RTD("esrtd",,"*H","MSFT","last","i60",,3)</f>
        <v>56.779</v>
      </c>
    </row>
    <row r="37" spans="3:8" ht="12.75">
      <c r="C37" s="36">
        <f>_xlfn.RTD("esrtd",,"*H","MSFT","BarTime","I60",,4)</f>
        <v>42585.395833333336</v>
      </c>
      <c r="D37" t="str">
        <f>_xlfn.RTD("esrtd",,"*H","MSFT","symbol","i60",,4)</f>
        <v>MSFT</v>
      </c>
      <c r="E37">
        <f>_xlfn.RTD("esrtd",,"*H","MSFT","open","i60",,4)</f>
        <v>57.01</v>
      </c>
      <c r="F37">
        <f>_xlfn.RTD("esrtd",,"*H","MSFT","High","i60",,4)</f>
        <v>57.06</v>
      </c>
      <c r="G37">
        <f>_xlfn.RTD("esrtd",,"*H","MSFT","low","i60",,4)</f>
        <v>56.79</v>
      </c>
      <c r="H37">
        <f>_xlfn.RTD("esrtd",,"*H","MSFT","last","i60",,4)</f>
        <v>56.845</v>
      </c>
    </row>
    <row r="38" spans="3:8" ht="12.75">
      <c r="C38" s="36">
        <f>_xlfn.RTD("esrtd",,"*H","MSFT","BarTime","I60",,5)</f>
        <v>42585.354166666664</v>
      </c>
      <c r="D38" t="str">
        <f>_xlfn.RTD("esrtd",,"*H","MSFT","symbol","i60",,5)</f>
        <v>MSFT</v>
      </c>
      <c r="E38">
        <f>_xlfn.RTD("esrtd",,"*H","MSFT","open","i60",,5)</f>
        <v>56.68</v>
      </c>
      <c r="F38">
        <f>_xlfn.RTD("esrtd",,"*H","MSFT","High","i60",,5)</f>
        <v>57.11</v>
      </c>
      <c r="G38">
        <f>_xlfn.RTD("esrtd",,"*H","MSFT","low","i60",,5)</f>
        <v>56.49</v>
      </c>
      <c r="H38">
        <f>_xlfn.RTD("esrtd",,"*H","MSFT","last","i60",,5)</f>
        <v>57.02</v>
      </c>
    </row>
    <row r="39" spans="3:8" ht="12.75">
      <c r="C39" s="36">
        <f>_xlfn.RTD("esrtd",,"*H","MSFT","BarTime","I60",,6)</f>
        <v>42585.333333333336</v>
      </c>
      <c r="D39" t="str">
        <f>_xlfn.RTD("esrtd",,"*H","MSFT","symbol","i60",,6)</f>
        <v>MSFT</v>
      </c>
      <c r="E39">
        <f>_xlfn.RTD("esrtd",,"*H","MSFT","open","i60",,6)</f>
        <v>56.56</v>
      </c>
      <c r="F39">
        <f>_xlfn.RTD("esrtd",,"*H","MSFT","High","i60",,6)</f>
        <v>56.68</v>
      </c>
      <c r="G39">
        <f>_xlfn.RTD("esrtd",,"*H","MSFT","low","i60",,6)</f>
        <v>56.56</v>
      </c>
      <c r="H39">
        <f>_xlfn.RTD("esrtd",,"*H","MSFT","last","i60",,6)</f>
        <v>56.68</v>
      </c>
    </row>
    <row r="40" spans="3:8" ht="12.75">
      <c r="C40" s="36">
        <f>_xlfn.RTD("esrtd",,"*H","MSFT","BarTime","I60",,7)</f>
        <v>42585.291666666664</v>
      </c>
      <c r="D40" t="str">
        <f>_xlfn.RTD("esrtd",,"*H","MSFT","symbol","i60",,7)</f>
        <v>MSFT</v>
      </c>
      <c r="E40">
        <f>_xlfn.RTD("esrtd",,"*H","MSFT","open","i60",,7)</f>
        <v>56.45</v>
      </c>
      <c r="F40">
        <f>_xlfn.RTD("esrtd",,"*H","MSFT","High","i60",,7)</f>
        <v>56.45</v>
      </c>
      <c r="G40">
        <f>_xlfn.RTD("esrtd",,"*H","MSFT","low","i60",,7)</f>
        <v>56.45</v>
      </c>
      <c r="H40">
        <f>_xlfn.RTD("esrtd",,"*H","MSFT","last","i60",,7)</f>
        <v>56.45</v>
      </c>
    </row>
    <row r="41" spans="3:8" ht="12.75">
      <c r="C41" s="36">
        <f>_xlfn.RTD("esrtd",,"*H","MSFT","BarTime","I60",,8)</f>
        <v>42585.208333333336</v>
      </c>
      <c r="D41" t="str">
        <f>_xlfn.RTD("esrtd",,"*H","MSFT","symbol","i60",,8)</f>
        <v>MSFT</v>
      </c>
      <c r="E41">
        <f>_xlfn.RTD("esrtd",,"*H","MSFT","open","i60",,8)</f>
        <v>56.45</v>
      </c>
      <c r="F41">
        <f>_xlfn.RTD("esrtd",,"*H","MSFT","High","i60",,8)</f>
        <v>56.45</v>
      </c>
      <c r="G41">
        <f>_xlfn.RTD("esrtd",,"*H","MSFT","low","i60",,8)</f>
        <v>56.45</v>
      </c>
      <c r="H41">
        <f>_xlfn.RTD("esrtd",,"*H","MSFT","last","i60",,8)</f>
        <v>56.45</v>
      </c>
    </row>
    <row r="42" spans="3:8" ht="12.75">
      <c r="C42" s="36">
        <f>_xlfn.RTD("esrtd",,"*H","MSFT","BarTime","I60",,9)</f>
        <v>42585.125</v>
      </c>
      <c r="D42" t="str">
        <f>_xlfn.RTD("esrtd",,"*H","MSFT","symbol","i60",,9)</f>
        <v>MSFT</v>
      </c>
      <c r="E42">
        <f>_xlfn.RTD("esrtd",,"*H","MSFT","open","i60",,9)</f>
        <v>56.45</v>
      </c>
      <c r="F42">
        <f>_xlfn.RTD("esrtd",,"*H","MSFT","High","i60",,9)</f>
        <v>56.45</v>
      </c>
      <c r="G42">
        <f>_xlfn.RTD("esrtd",,"*H","MSFT","low","i60",,9)</f>
        <v>56.45</v>
      </c>
      <c r="H42">
        <f>_xlfn.RTD("esrtd",,"*H","MSFT","last","i60",,9)</f>
        <v>56.45</v>
      </c>
    </row>
    <row r="43" spans="3:8" ht="12.75">
      <c r="C43" s="36">
        <f>_xlfn.RTD("esrtd",,"*H","MSFT","BarTime","I60",,10)</f>
        <v>42584.770833333336</v>
      </c>
      <c r="D43" t="str">
        <f>_xlfn.RTD("esrtd",,"*H","MSFT","symbol","i60",,10)</f>
        <v>MSFT</v>
      </c>
      <c r="E43">
        <f>_xlfn.RTD("esrtd",,"*H","MSFT","open","i60",,10)</f>
        <v>56.57</v>
      </c>
      <c r="F43">
        <f>_xlfn.RTD("esrtd",,"*H","MSFT","High","i60",,10)</f>
        <v>56.57</v>
      </c>
      <c r="G43">
        <f>_xlfn.RTD("esrtd",,"*H","MSFT","low","i60",,10)</f>
        <v>56.56</v>
      </c>
      <c r="H43">
        <f>_xlfn.RTD("esrtd",,"*H","MSFT","last","i60",,10)</f>
        <v>56.56</v>
      </c>
    </row>
    <row r="44" ht="12.75">
      <c r="C44" s="36"/>
    </row>
    <row r="45" ht="12.75">
      <c r="C45" s="36"/>
    </row>
    <row r="46" ht="12.75">
      <c r="C46" s="36"/>
    </row>
    <row r="47" ht="12.75">
      <c r="C47" s="36"/>
    </row>
    <row r="48" ht="12.75">
      <c r="C48" s="36"/>
    </row>
    <row r="49" ht="12.75">
      <c r="C49" s="36"/>
    </row>
    <row r="50" ht="12.75">
      <c r="C50" s="36"/>
    </row>
    <row r="51" ht="12.75">
      <c r="C51" s="36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</sheetData>
  <sheetProtection/>
  <mergeCells count="5">
    <mergeCell ref="A3:I3"/>
    <mergeCell ref="D10:H10"/>
    <mergeCell ref="I10:M10"/>
    <mergeCell ref="D32:H32"/>
    <mergeCell ref="D23:H23"/>
  </mergeCells>
  <hyperlinks>
    <hyperlink ref="A1" location="'Normal Links'!A1" display="Click For Main Page"/>
  </hyperlink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eSignal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Jim Ekstrand</cp:lastModifiedBy>
  <dcterms:created xsi:type="dcterms:W3CDTF">2009-03-30T21:55:08Z</dcterms:created>
  <dcterms:modified xsi:type="dcterms:W3CDTF">2016-08-03T18:48:01Z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