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66" windowWidth="18825" windowHeight="11820" activeTab="0"/>
  </bookViews>
  <sheets>
    <sheet name="Normal Links" sheetId="1" r:id="rId1"/>
    <sheet name="Cell Ref Symbol" sheetId="2" r:id="rId2"/>
    <sheet name="Cell Ref Field" sheetId="3" r:id="rId3"/>
    <sheet name="Cell Ref Cell" sheetId="4" r:id="rId4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<sst xmlns="http://schemas.openxmlformats.org/spreadsheetml/2006/main" count="93" uniqueCount="83">
  <si>
    <t>Symbol</t>
  </si>
  <si>
    <t>Last</t>
  </si>
  <si>
    <t>Net Change</t>
  </si>
  <si>
    <t>Volume</t>
  </si>
  <si>
    <t>Description</t>
  </si>
  <si>
    <t>Click to see Each Example in Action</t>
  </si>
  <si>
    <t>Fields Linked to Cell for Symbol</t>
  </si>
  <si>
    <t>Symbols Linked to Cell for Fields</t>
  </si>
  <si>
    <t>Cell Reference to a Cell Reference</t>
  </si>
  <si>
    <t>1)</t>
  </si>
  <si>
    <t>2)</t>
  </si>
  <si>
    <t>3)</t>
  </si>
  <si>
    <t>4)</t>
  </si>
  <si>
    <t>Normal Links Updating</t>
  </si>
  <si>
    <t>Ask</t>
  </si>
  <si>
    <t>Bid</t>
  </si>
  <si>
    <t>High</t>
  </si>
  <si>
    <t>Low</t>
  </si>
  <si>
    <t>Open</t>
  </si>
  <si>
    <t>Symbol =</t>
  </si>
  <si>
    <t>In this example, Cells B10 and G10 control the symbol used in each Detail Quote Table</t>
  </si>
  <si>
    <t xml:space="preserve">Last: </t>
  </si>
  <si>
    <t xml:space="preserve">Net Change: </t>
  </si>
  <si>
    <t xml:space="preserve">Volume: </t>
  </si>
  <si>
    <t xml:space="preserve">Previous: </t>
  </si>
  <si>
    <t xml:space="preserve">Bid: </t>
  </si>
  <si>
    <t xml:space="preserve">Ask: </t>
  </si>
  <si>
    <t xml:space="preserve">High: </t>
  </si>
  <si>
    <t xml:space="preserve">Low: </t>
  </si>
  <si>
    <t xml:space="preserve">Open: </t>
  </si>
  <si>
    <t xml:space="preserve">Trade Size: </t>
  </si>
  <si>
    <t xml:space="preserve">52-Week High: </t>
  </si>
  <si>
    <t xml:space="preserve">52-Week Low: </t>
  </si>
  <si>
    <t xml:space="preserve">ExtHours: </t>
  </si>
  <si>
    <t xml:space="preserve">Time: </t>
  </si>
  <si>
    <t xml:space="preserve">CUSIP: </t>
  </si>
  <si>
    <t xml:space="preserve">Trade Exch: </t>
  </si>
  <si>
    <t xml:space="preserve">Bid Exch: </t>
  </si>
  <si>
    <t xml:space="preserve">Ask Exch: </t>
  </si>
  <si>
    <t xml:space="preserve">EPS: </t>
  </si>
  <si>
    <t xml:space="preserve">PE: </t>
  </si>
  <si>
    <t xml:space="preserve">BETA: </t>
  </si>
  <si>
    <t xml:space="preserve">Dividend: </t>
  </si>
  <si>
    <t>MSFT</t>
  </si>
  <si>
    <t>CSCO</t>
  </si>
  <si>
    <t>DELL</t>
  </si>
  <si>
    <t>HAL</t>
  </si>
  <si>
    <t>CHK</t>
  </si>
  <si>
    <t>NOV</t>
  </si>
  <si>
    <t>Type in any symbol in the Blue Cells to make a change</t>
  </si>
  <si>
    <t>Type in any symbol or field in the Blue Cells to make a change</t>
  </si>
  <si>
    <t>change</t>
  </si>
  <si>
    <t>Click For Main Page</t>
  </si>
  <si>
    <t>Last Trade Time</t>
  </si>
  <si>
    <t>Last:</t>
  </si>
  <si>
    <t>Net Change:</t>
  </si>
  <si>
    <t>Volume:</t>
  </si>
  <si>
    <t>Previous:</t>
  </si>
  <si>
    <t>Bid:</t>
  </si>
  <si>
    <t>Ask:</t>
  </si>
  <si>
    <t>High:</t>
  </si>
  <si>
    <t>Low:</t>
  </si>
  <si>
    <t>Open:</t>
  </si>
  <si>
    <t>Trade Size:</t>
  </si>
  <si>
    <t>52-Week High:</t>
  </si>
  <si>
    <t>52-Week Low:</t>
  </si>
  <si>
    <t>ExtHours:</t>
  </si>
  <si>
    <t>Time:</t>
  </si>
  <si>
    <t>CUSIP:</t>
  </si>
  <si>
    <t>Trade Exch:</t>
  </si>
  <si>
    <t>Bid Exch:</t>
  </si>
  <si>
    <t>Ask Exch:</t>
  </si>
  <si>
    <t>EPS:</t>
  </si>
  <si>
    <t>PE:</t>
  </si>
  <si>
    <t>BETA:</t>
  </si>
  <si>
    <t>Dividend:</t>
  </si>
  <si>
    <t>Symbol=</t>
  </si>
  <si>
    <t>msft</t>
  </si>
  <si>
    <t xml:space="preserve">In this example, the cells with Last, Change, %Change and Volume gets its symbol </t>
  </si>
  <si>
    <t>Type in any symbol or field in the Blue Cell B11 to make a change</t>
  </si>
  <si>
    <t>mmm</t>
  </si>
  <si>
    <t>In this example, cells A10:A16 control Symbol &amp; cells A9:A9 control Field</t>
  </si>
  <si>
    <t>from B8, which is another reference to B11 Symbol &amp; cells C8:K8 control Field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</si>
</sst>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mm/dd/yy;@"/>
    <numFmt numFmtId="167" formatCode="m/d/yy;@"/>
    <numFmt numFmtId="168" formatCode="[$-409]h:mm:ss\ AM/PM"/>
    <numFmt numFmtId="169" formatCode="m/d/yyyy;@"/>
    <numFmt numFmtId="170" formatCode="[$-409]d\-mmm\-yyyy;@"/>
    <numFmt numFmtId="171" formatCode="[$-409]h:mm:ss\ AM/PM;@"/>
    <numFmt numFmtId="172" formatCode="[$-F400]h:mm:ss\ AM/PM"/>
    <numFmt numFmtId="173" formatCode="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\ h:mm;@"/>
    <numFmt numFmtId="179" formatCode="m/d/yyyy\ h:mm:ss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3"/>
      <name val="Tahoma"/>
      <family val="2"/>
    </font>
    <font>
      <sz val="10"/>
      <color indexed="23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20" applyFont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172" fontId="6" fillId="2" borderId="0" xfId="0" applyNumberFormat="1" applyFont="1" applyFill="1" applyAlignment="1">
      <alignment horizontal="left"/>
    </xf>
    <xf numFmtId="171" fontId="6" fillId="2" borderId="0" xfId="0" applyNumberFormat="1" applyFont="1" applyFill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11" fillId="0" borderId="0" xfId="20" applyFont="1" applyFill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3" max="3" width="10.7109375" style="0" bestFit="1" customWidth="1"/>
    <col min="4" max="4" width="11.140625" style="0" bestFit="1" customWidth="1"/>
    <col min="5" max="5" width="34.140625" style="0" bestFit="1" customWidth="1"/>
  </cols>
  <sheetData>
    <row r="1" ht="15.75">
      <c r="A1" s="11" t="s">
        <v>5</v>
      </c>
    </row>
    <row r="3" spans="1:3" ht="19.5" customHeight="1">
      <c r="A3" s="3" t="s">
        <v>9</v>
      </c>
      <c r="B3" s="8" t="s">
        <v>13</v>
      </c>
      <c r="C3" s="8"/>
    </row>
    <row r="4" spans="1:3" ht="19.5" customHeight="1">
      <c r="A4" s="3" t="s">
        <v>10</v>
      </c>
      <c r="B4" s="8" t="s">
        <v>6</v>
      </c>
      <c r="C4" s="8"/>
    </row>
    <row r="5" spans="1:3" ht="20.25" customHeight="1">
      <c r="A5" s="3" t="s">
        <v>11</v>
      </c>
      <c r="B5" s="8" t="s">
        <v>7</v>
      </c>
      <c r="C5" s="8"/>
    </row>
    <row r="6" spans="1:3" ht="19.5" customHeight="1">
      <c r="A6" s="3" t="s">
        <v>12</v>
      </c>
      <c r="B6" s="8" t="s">
        <v>8</v>
      </c>
      <c r="C6" s="8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>
      <c r="A10" t="str">
        <f>_xlfn.RTD("ESRTD",,"$INDU","Symbol")</f>
        <v>$INDU</v>
      </c>
      <c r="B10">
        <f>_xlfn.RTD("ESRTD",,"$INDU","Last")</f>
        <v>10415.24</v>
      </c>
      <c r="C10">
        <f>_xlfn.RTD("ESRTD",,"$INDU","Change")</f>
        <v>28.229999999999563</v>
      </c>
      <c r="D10" s="17">
        <f>_xlfn.RTD("ESRTD",,"$INDU","Volume")</f>
        <v>163589414</v>
      </c>
      <c r="E10">
        <f>_xlfn.RTD("ESRTD",,"$INDU","Description")</f>
      </c>
    </row>
    <row r="11" spans="1:5" ht="12.75">
      <c r="A11" t="str">
        <f>_xlfn.RTD("ESRTD",,"MMM","Symbol")</f>
        <v>MMM</v>
      </c>
      <c r="B11">
        <f>_xlfn.RTD("ESRTD",,"MMM","Last")</f>
        <v>82.96</v>
      </c>
      <c r="C11">
        <f>_xlfn.RTD("ESRTD",,"MMM","Change")</f>
        <v>0.20999999999999375</v>
      </c>
      <c r="D11" s="17">
        <f>_xlfn.RTD("ESRTD",,"MMM","Volume")</f>
        <v>2473188</v>
      </c>
      <c r="E11" t="str">
        <f>_xlfn.RTD("ESRTD",,"MMM","Description")</f>
        <v>3M CO</v>
      </c>
    </row>
    <row r="12" spans="1:5" ht="12.75">
      <c r="A12" t="str">
        <f>_xlfn.RTD("ESRTD",,"AA","Symbol")</f>
        <v>AA</v>
      </c>
      <c r="B12">
        <f>_xlfn.RTD("ESRTD",,"AA","Last")</f>
        <v>11.2</v>
      </c>
      <c r="C12">
        <f>_xlfn.RTD("ESRTD",,"AA","Change")</f>
        <v>0.16000000000000014</v>
      </c>
      <c r="D12" s="17">
        <f>_xlfn.RTD("ESRTD",,"AA","Volume")</f>
        <v>25433108</v>
      </c>
      <c r="E12" t="str">
        <f>_xlfn.RTD("ESRTD",,"AA","Description")</f>
        <v>ALCOA INC</v>
      </c>
    </row>
    <row r="13" spans="1:5" ht="12.75">
      <c r="A13" t="str">
        <f>_xlfn.RTD("ESRTD",,"AXP","Symbol")</f>
        <v>AXP</v>
      </c>
      <c r="B13">
        <f>_xlfn.RTD("ESRTD",,"AXP","Last")</f>
        <v>40.69</v>
      </c>
      <c r="C13">
        <f>_xlfn.RTD("ESRTD",,"AXP","Change")</f>
        <v>0.6199999999999974</v>
      </c>
      <c r="D13" s="17">
        <f>_xlfn.RTD("ESRTD",,"AXP","Volume")</f>
        <v>7918375</v>
      </c>
      <c r="E13" t="str">
        <f>_xlfn.RTD("ESRTD",,"AXP","Description")</f>
        <v>AMERICAN EXPRESS CO</v>
      </c>
    </row>
    <row r="14" spans="1:5" ht="12.75">
      <c r="A14" t="str">
        <f>_xlfn.RTD("ESRTD",,"T","Symbol")</f>
        <v>T</v>
      </c>
      <c r="B14">
        <f>_xlfn.RTD("ESRTD",,"T","Last")</f>
        <v>27.8</v>
      </c>
      <c r="C14">
        <f>_xlfn.RTD("ESRTD",,"T","Change")</f>
        <v>0.41999999999999815</v>
      </c>
      <c r="D14" s="17">
        <f>_xlfn.RTD("ESRTD",,"T","Volume")</f>
        <v>27431828</v>
      </c>
      <c r="E14" t="str">
        <f>_xlfn.RTD("ESRTD",,"T","Description")</f>
        <v>AT&amp;T INC</v>
      </c>
    </row>
    <row r="15" spans="1:5" ht="12.75">
      <c r="A15" t="str">
        <f>_xlfn.RTD("ESRTD",,"BAC","Symbol")</f>
        <v>BAC</v>
      </c>
      <c r="B15">
        <f>_xlfn.RTD("ESRTD",,"BAC","Last")</f>
        <v>13.44</v>
      </c>
      <c r="C15">
        <f>_xlfn.RTD("ESRTD",,"BAC","Change")</f>
        <v>0.13000000000000078</v>
      </c>
      <c r="D15" s="17">
        <f>_xlfn.RTD("ESRTD",,"BAC","Volume")</f>
        <v>168548914</v>
      </c>
      <c r="E15" t="str">
        <f>_xlfn.RTD("ESRTD",,"BAC","Description")</f>
        <v>BANK OF AMERICA CORPORATION</v>
      </c>
    </row>
    <row r="16" spans="1:5" ht="12.75">
      <c r="A16" t="str">
        <f>_xlfn.RTD("ESRTD",,"BA","Symbol")</f>
        <v>BA</v>
      </c>
      <c r="B16">
        <f>_xlfn.RTD("ESRTD",,"BA","Last")</f>
        <v>63.46</v>
      </c>
      <c r="C16">
        <f>_xlfn.RTD("ESRTD",,"BA","Change")</f>
        <v>-1.0600000000000023</v>
      </c>
      <c r="D16" s="17">
        <f>_xlfn.RTD("ESRTD",,"BA","Volume")</f>
        <v>4190696</v>
      </c>
      <c r="E16" t="str">
        <f>_xlfn.RTD("ESRTD",,"BA","Description")</f>
        <v>BOEING CO</v>
      </c>
    </row>
    <row r="17" spans="1:5" ht="12.75">
      <c r="A17" t="str">
        <f>_xlfn.RTD("ESRTD",,"CAT","Symbol")</f>
        <v>CAT</v>
      </c>
      <c r="B17">
        <f>_xlfn.RTD("ESRTD",,"CAT","Last")</f>
        <v>70.41</v>
      </c>
      <c r="C17">
        <f>_xlfn.RTD("ESRTD",,"CAT","Change")</f>
        <v>-0.09999999999999432</v>
      </c>
      <c r="D17" s="17">
        <f>_xlfn.RTD("ESRTD",,"CAT","Volume")</f>
        <v>5355814</v>
      </c>
      <c r="E17" t="str">
        <f>_xlfn.RTD("ESRTD",,"CAT","Description")</f>
        <v>CATERPILLAR INC DEL</v>
      </c>
    </row>
    <row r="18" spans="1:5" ht="12.75">
      <c r="A18" t="str">
        <f>_xlfn.RTD("ESRTD",,"CVX","Symbol")</f>
        <v>CVX</v>
      </c>
      <c r="B18">
        <f>_xlfn.RTD("ESRTD",,"CVX","Last")</f>
        <v>77.39</v>
      </c>
      <c r="C18">
        <f>_xlfn.RTD("ESRTD",,"CVX","Change")</f>
        <v>0.10999999999999943</v>
      </c>
      <c r="D18" s="17">
        <f>_xlfn.RTD("ESRTD",,"CVX","Volume")</f>
        <v>6651412</v>
      </c>
      <c r="E18" t="str">
        <f>_xlfn.RTD("ESRTD",,"CVX","Description")</f>
        <v>CHEVRON CORP NEW</v>
      </c>
    </row>
    <row r="19" spans="1:5" ht="12.75">
      <c r="A19" t="str">
        <f>_xlfn.RTD("ESRTD",,"C","Symbol")</f>
        <v>C</v>
      </c>
      <c r="B19">
        <f>_xlfn.RTD("ESRTD",,"C","Last")</f>
        <v>3.91</v>
      </c>
      <c r="C19">
        <f>_xlfn.RTD("ESRTD",,"C","Change")</f>
        <v>0.07000000000000028</v>
      </c>
      <c r="D19" s="17">
        <f>_xlfn.RTD("ESRTD",,"C","Volume")</f>
        <v>450787780</v>
      </c>
      <c r="E19" t="str">
        <f>_xlfn.RTD("ESRTD",,"C","Description")</f>
        <v>CITIGROUP INC</v>
      </c>
    </row>
    <row r="20" spans="1:5" ht="12.75">
      <c r="A20" t="str">
        <f>_xlfn.RTD("ESRTD",,"KO","Symbol")</f>
        <v>KO</v>
      </c>
      <c r="B20">
        <f>_xlfn.RTD("ESRTD",,"KO","Last")</f>
        <v>58.29</v>
      </c>
      <c r="C20">
        <f>_xlfn.RTD("ESRTD",,"KO","Change")</f>
        <v>0.46000000000000085</v>
      </c>
      <c r="D20" s="17">
        <f>_xlfn.RTD("ESRTD",,"KO","Volume")</f>
        <v>9059190</v>
      </c>
      <c r="E20" t="str">
        <f>_xlfn.RTD("ESRTD",,"KO","Description")</f>
        <v>COCA COLA CO</v>
      </c>
    </row>
    <row r="21" spans="1:5" ht="12.75">
      <c r="A21" t="str">
        <f>_xlfn.RTD("ESRTD",,"DD","Symbol")</f>
        <v>DD</v>
      </c>
      <c r="B21">
        <f>_xlfn.RTD("ESRTD",,"DD","Last")</f>
        <v>42.18</v>
      </c>
      <c r="C21">
        <f>_xlfn.RTD("ESRTD",,"DD","Change")</f>
        <v>-0.21000000000000085</v>
      </c>
      <c r="D21" s="17">
        <f>_xlfn.RTD("ESRTD",,"DD","Volume")</f>
        <v>4673052</v>
      </c>
      <c r="E21" t="str">
        <f>_xlfn.RTD("ESRTD",,"DD","Description")</f>
        <v>DU PONT E I DE NEMOURS &amp; CO</v>
      </c>
    </row>
    <row r="22" spans="1:5" ht="12.75">
      <c r="A22" t="str">
        <f>_xlfn.RTD("ESRTD",,"XOM","Symbol")</f>
        <v>XOM</v>
      </c>
      <c r="B22">
        <f>_xlfn.RTD("ESRTD",,"XOM","Last")</f>
        <v>61.03</v>
      </c>
      <c r="C22">
        <f>_xlfn.RTD("ESRTD",,"XOM","Change")</f>
        <v>0.29999999999999716</v>
      </c>
      <c r="D22" s="17">
        <f>_xlfn.RTD("ESRTD",,"XOM","Volume")</f>
        <v>16526781</v>
      </c>
      <c r="E22" t="str">
        <f>_xlfn.RTD("ESRTD",,"XOM","Description")</f>
        <v>EXXON MOBIL CORP</v>
      </c>
    </row>
    <row r="23" spans="1:5" ht="12.75">
      <c r="A23" t="str">
        <f>_xlfn.RTD("ESRTD",,"GE","Symbol")</f>
        <v>GE</v>
      </c>
      <c r="B23">
        <f>_xlfn.RTD("ESRTD",,"GE","Last")</f>
        <v>15.9</v>
      </c>
      <c r="C23">
        <f>_xlfn.RTD("ESRTD",,"GE","Change")</f>
        <v>0.21000000000000085</v>
      </c>
      <c r="D23" s="17">
        <f>_xlfn.RTD("ESRTD",,"GE","Volume")</f>
        <v>60506184</v>
      </c>
      <c r="E23" t="str">
        <f>_xlfn.RTD("ESRTD",,"GE","Description")</f>
        <v>GENERAL ELECTRIC CO</v>
      </c>
    </row>
    <row r="24" spans="1:5" ht="12.75">
      <c r="A24" t="str">
        <f>_xlfn.RTD("ESRTD",,"HPQ","Symbol")</f>
        <v>HPQ</v>
      </c>
      <c r="B24">
        <f>_xlfn.RTD("ESRTD",,"HPQ","Last")</f>
        <v>38.67</v>
      </c>
      <c r="C24">
        <f>_xlfn.RTD("ESRTD",,"HPQ","Change")</f>
        <v>0.00999999999999801</v>
      </c>
      <c r="D24" s="17">
        <f>_xlfn.RTD("ESRTD",,"HPQ","Volume")</f>
        <v>17872634</v>
      </c>
      <c r="E24" t="str">
        <f>_xlfn.RTD("ESRTD",,"HPQ","Description")</f>
        <v>HEWLETT PACKARD CO</v>
      </c>
    </row>
    <row r="25" spans="1:5" ht="12.75">
      <c r="A25" t="str">
        <f>_xlfn.RTD("ESRTD",,"HD","Symbol")</f>
        <v>HD</v>
      </c>
      <c r="B25">
        <f>_xlfn.RTD("ESRTD",,"HD","Last")</f>
        <v>29.41</v>
      </c>
      <c r="C25">
        <f>_xlfn.RTD("ESRTD",,"HD","Change")</f>
        <v>-0.03999999999999915</v>
      </c>
      <c r="D25" s="17">
        <f>_xlfn.RTD("ESRTD",,"HD","Volume")</f>
        <v>7885453</v>
      </c>
      <c r="E25" t="str">
        <f>_xlfn.RTD("ESRTD",,"HD","Description")</f>
        <v>HOME DEPOT INC</v>
      </c>
    </row>
    <row r="26" spans="1:5" ht="12.75">
      <c r="A26" t="str">
        <f>_xlfn.RTD("ESRTD",,"IBM","Symbol")</f>
        <v>IBM</v>
      </c>
      <c r="B26">
        <f>_xlfn.RTD("ESRTD",,"IBM","Last")</f>
        <v>126.35</v>
      </c>
      <c r="C26">
        <f>_xlfn.RTD("ESRTD",,"IBM","Change")</f>
        <v>0.28000000000000114</v>
      </c>
      <c r="D26" s="17">
        <f>_xlfn.RTD("ESRTD",,"IBM","Volume")</f>
        <v>3437612</v>
      </c>
      <c r="E26" t="str">
        <f>_xlfn.RTD("ESRTD",,"IBM","Description")</f>
        <v>INTERNATIONAL BUSINESS MACHS</v>
      </c>
    </row>
    <row r="27" spans="1:5" ht="12.75">
      <c r="A27" t="str">
        <f>_xlfn.RTD("ESRTD",,"JNJ","Symbol")</f>
        <v>JNJ</v>
      </c>
      <c r="B27">
        <f>_xlfn.RTD("ESRTD",,"JNJ","Last")</f>
        <v>59.74</v>
      </c>
      <c r="C27">
        <f>_xlfn.RTD("ESRTD",,"JNJ","Change")</f>
        <v>0.9699999999999989</v>
      </c>
      <c r="D27" s="17">
        <f>_xlfn.RTD("ESRTD",,"JNJ","Volume")</f>
        <v>14077675</v>
      </c>
      <c r="E27" t="str">
        <f>_xlfn.RTD("ESRTD",,"JNJ","Description")</f>
        <v>JOHNSON &amp; JOHNSON</v>
      </c>
    </row>
    <row r="28" spans="1:5" ht="12.75">
      <c r="A28" t="str">
        <f>_xlfn.RTD("ESRTD",,"JPM","Symbol")</f>
        <v>JPM</v>
      </c>
      <c r="B28">
        <f>_xlfn.RTD("ESRTD",,"JPM","Last")</f>
        <v>40.08</v>
      </c>
      <c r="C28">
        <f>_xlfn.RTD("ESRTD",,"JPM","Change")</f>
        <v>0.980000000000004</v>
      </c>
      <c r="D28" s="17">
        <f>_xlfn.RTD("ESRTD",,"JPM","Volume")</f>
        <v>33438796</v>
      </c>
      <c r="E28" t="str">
        <f>_xlfn.RTD("ESRTD",,"JPM","Description")</f>
        <v>JPMORGAN CHASE &amp; CO</v>
      </c>
    </row>
    <row r="29" spans="1:5" ht="12.75">
      <c r="A29" t="str">
        <f>_xlfn.RTD("ESRTD",,"KFT","Symbol")</f>
        <v>KFT</v>
      </c>
      <c r="B29">
        <f>_xlfn.RTD("ESRTD",,"KFT","Last")</f>
        <v>30.74</v>
      </c>
      <c r="C29">
        <f>_xlfn.RTD("ESRTD",,"KFT","Change")</f>
        <v>0.16000000000000014</v>
      </c>
      <c r="D29" s="17">
        <f>_xlfn.RTD("ESRTD",,"KFT","Volume")</f>
        <v>7479217</v>
      </c>
      <c r="E29" t="str">
        <f>_xlfn.RTD("ESRTD",,"KFT","Description")</f>
        <v>KRAFT FOODS INC</v>
      </c>
    </row>
    <row r="30" spans="1:5" ht="12.75">
      <c r="A30" t="str">
        <f>_xlfn.RTD("ESRTD",,"MCD","Symbol")</f>
        <v>MCD</v>
      </c>
      <c r="B30">
        <f>_xlfn.RTD("ESRTD",,"MCD","Last")</f>
        <v>74.2</v>
      </c>
      <c r="C30">
        <f>_xlfn.RTD("ESRTD",,"MCD","Change")</f>
        <v>-1.7099999999999937</v>
      </c>
      <c r="D30" s="17">
        <f>_xlfn.RTD("ESRTD",,"MCD","Volume")</f>
        <v>14620908</v>
      </c>
      <c r="E30" t="str">
        <f>_xlfn.RTD("ESRTD",,"MCD","Description")</f>
        <v>MCDONALDS CORP</v>
      </c>
    </row>
    <row r="31" spans="1:5" ht="12.75">
      <c r="A31" t="str">
        <f>_xlfn.RTD("ESRTD",,"MRK","Symbol")</f>
        <v>MRK</v>
      </c>
      <c r="B31">
        <f>_xlfn.RTD("ESRTD",,"MRK","Last")</f>
        <v>36.08</v>
      </c>
      <c r="C31">
        <f>_xlfn.RTD("ESRTD",,"MRK","Change")</f>
        <v>0.269999999999996</v>
      </c>
      <c r="D31" s="17">
        <f>_xlfn.RTD("ESRTD",,"MRK","Volume")</f>
        <v>11568102</v>
      </c>
      <c r="E31" t="str">
        <f>_xlfn.RTD("ESRTD",,"MRK","Description")</f>
        <v>MERCK &amp; CO INC NEW</v>
      </c>
    </row>
    <row r="32" spans="1:5" ht="12.75">
      <c r="A32" t="str">
        <f>_xlfn.RTD("ESRTD",,"MSFT","Symbol")</f>
        <v>MSFT</v>
      </c>
      <c r="B32">
        <f>_xlfn.RTD("ESRTD",,"MSFT","Last")</f>
        <v>24.01</v>
      </c>
      <c r="C32">
        <f>_xlfn.RTD("ESRTD",,"MSFT","Change")</f>
        <v>0.08000000000000185</v>
      </c>
      <c r="D32" s="17">
        <f>_xlfn.RTD("ESRTD",,"MSFT","Volume")</f>
        <v>46028831</v>
      </c>
      <c r="E32" t="str">
        <f>_xlfn.RTD("ESRTD",,"MSFT","Description")</f>
        <v>MICROSOFT CORP</v>
      </c>
    </row>
    <row r="33" spans="1:5" ht="12.75">
      <c r="A33" t="str">
        <f>_xlfn.RTD("ESRTD",,"PFE","Symbol")</f>
        <v>PFE</v>
      </c>
      <c r="B33">
        <f>_xlfn.RTD("ESRTD",,"PFE","Last")</f>
        <v>16.77</v>
      </c>
      <c r="C33">
        <f>_xlfn.RTD("ESRTD",,"PFE","Change")</f>
        <v>0.21000000000000085</v>
      </c>
      <c r="D33" s="17">
        <f>_xlfn.RTD("ESRTD",,"PFE","Volume")</f>
        <v>52198501</v>
      </c>
      <c r="E33" t="str">
        <f>_xlfn.RTD("ESRTD",,"PFE","Description")</f>
        <v>PFIZER INC</v>
      </c>
    </row>
    <row r="34" spans="1:5" ht="12.75">
      <c r="A34" t="str">
        <f>_xlfn.RTD("ESRTD",,"PG","Symbol")</f>
        <v>PG</v>
      </c>
      <c r="B34">
        <f>_xlfn.RTD("ESRTD",,"PG","Last")</f>
        <v>60.29</v>
      </c>
      <c r="C34">
        <f>_xlfn.RTD("ESRTD",,"PG","Change")</f>
        <v>-0.0799999999999983</v>
      </c>
      <c r="D34" s="17">
        <f>_xlfn.RTD("ESRTD",,"PG","Volume")</f>
        <v>7939055</v>
      </c>
      <c r="E34" t="str">
        <f>_xlfn.RTD("ESRTD",,"PG","Description")</f>
        <v>PROCTER &amp; GAMBLE CO</v>
      </c>
    </row>
    <row r="35" spans="1:5" ht="12.75">
      <c r="A35" t="str">
        <f>_xlfn.RTD("ESRTD",,"UTX","Symbol")</f>
        <v>UTX</v>
      </c>
      <c r="B35">
        <f>_xlfn.RTD("ESRTD",,"UTX","Last")</f>
        <v>68.62</v>
      </c>
      <c r="C35">
        <f>_xlfn.RTD("ESRTD",,"UTX","Change")</f>
        <v>0.15000000000000568</v>
      </c>
      <c r="D35" s="17">
        <f>_xlfn.RTD("ESRTD",,"UTX","Volume")</f>
        <v>2690756</v>
      </c>
      <c r="E35" t="str">
        <f>_xlfn.RTD("ESRTD",,"UTX","Description")</f>
        <v>UNITED TECHNOLOGIES CORP</v>
      </c>
    </row>
    <row r="36" spans="1:5" ht="12.75">
      <c r="A36" t="str">
        <f>_xlfn.RTD("ESRTD",,"VZ","Symbol")</f>
        <v>VZ</v>
      </c>
      <c r="B36">
        <f>_xlfn.RTD("ESRTD",,"VZ","Last")</f>
        <v>30.83</v>
      </c>
      <c r="C36">
        <f>_xlfn.RTD("ESRTD",,"VZ","Change")</f>
        <v>0.379999999999999</v>
      </c>
      <c r="D36" s="17">
        <f>_xlfn.RTD("ESRTD",,"VZ","Volume")</f>
        <v>17029376</v>
      </c>
      <c r="E36" t="str">
        <f>_xlfn.RTD("ESRTD",,"VZ","Description")</f>
        <v>VERIZON COMMUNICATIONS INC</v>
      </c>
    </row>
    <row r="37" spans="1:5" ht="12.75">
      <c r="A37" t="str">
        <f>_xlfn.RTD("ESRTD",,"WMT","Symbol")</f>
        <v>WMT</v>
      </c>
      <c r="B37">
        <f>_xlfn.RTD("ESRTD",,"WMT","Last")</f>
        <v>51.91</v>
      </c>
      <c r="C37">
        <f>_xlfn.RTD("ESRTD",,"WMT","Change")</f>
        <v>0.0799999999999983</v>
      </c>
      <c r="D37" s="17">
        <f>_xlfn.RTD("ESRTD",,"WMT","Volume")</f>
        <v>7299637</v>
      </c>
      <c r="E37" t="str">
        <f>_xlfn.RTD("ESRTD",,"WMT","Description")</f>
        <v>WAL MART STORES INC</v>
      </c>
    </row>
    <row r="38" spans="1:5" ht="12.75">
      <c r="A38" t="str">
        <f>_xlfn.RTD("ESRTD",,"DIS","Symbol")</f>
        <v>DIS</v>
      </c>
      <c r="B38">
        <f>_xlfn.RTD("ESRTD",,"DIS","Last")</f>
        <v>34.1</v>
      </c>
      <c r="C38">
        <f>_xlfn.RTD("ESRTD",,"DIS","Change")</f>
        <v>0.23999999999999488</v>
      </c>
      <c r="D38" s="17">
        <f>_xlfn.RTD("ESRTD",,"DIS","Volume")</f>
        <v>6990562</v>
      </c>
      <c r="E38" t="str">
        <f>_xlfn.RTD("ESRTD",,"DIS","Description")</f>
        <v>DISNEY WALT CO</v>
      </c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</sheetData>
  <hyperlinks>
    <hyperlink ref="B3" location="'Normal Links Updating'!A1" display="Normal Links Updating"/>
    <hyperlink ref="B4" location="'Cell Ref Symbol'!E9" display="Fields Linked to Cell for Symbol"/>
    <hyperlink ref="B5" location="'Cell Ref Field'!A8" display="Symbols Linked to Cell for Fields"/>
    <hyperlink ref="B3:C3" location="'Normal Links'!A8" display="Normal Links Updating"/>
    <hyperlink ref="B4:C4" location="'Cell Ref Symbol'!E9" display="Fields Linked to Cell for Symbol"/>
    <hyperlink ref="B5:C5" location="'Cell Ref Field'!A8" display="Symbols Linked to Cell for Fields"/>
    <hyperlink ref="B6:C6" location="'Cell Ref Cell'!A15" display="Cell Reference to a Cell Reference"/>
  </hyperlink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3" sqref="A3"/>
    </sheetView>
  </sheetViews>
  <sheetFormatPr defaultColWidth="9.140625" defaultRowHeight="12.75"/>
  <cols>
    <col min="1" max="1" width="13.57421875" style="0" customWidth="1"/>
    <col min="2" max="2" width="13.7109375" style="0" customWidth="1"/>
    <col min="3" max="3" width="11.28125" style="0" customWidth="1"/>
    <col min="4" max="4" width="15.7109375" style="0" customWidth="1"/>
    <col min="5" max="5" width="1.421875" style="0" customWidth="1"/>
    <col min="6" max="6" width="13.7109375" style="0" customWidth="1"/>
    <col min="7" max="7" width="13.8515625" style="0" customWidth="1"/>
    <col min="8" max="8" width="11.421875" style="0" customWidth="1"/>
    <col min="9" max="9" width="15.7109375" style="0" customWidth="1"/>
  </cols>
  <sheetData>
    <row r="1" spans="1:8" ht="12.75">
      <c r="A1" s="20" t="s">
        <v>20</v>
      </c>
      <c r="B1" s="20"/>
      <c r="C1" s="20"/>
      <c r="D1" s="20"/>
      <c r="E1" s="20"/>
      <c r="F1" s="20"/>
      <c r="G1" s="20"/>
      <c r="H1" s="20"/>
    </row>
    <row r="2" spans="1:8" ht="12.75">
      <c r="A2" s="20" t="s">
        <v>49</v>
      </c>
      <c r="B2" s="20"/>
      <c r="C2" s="20"/>
      <c r="D2" s="20"/>
      <c r="E2" s="20"/>
      <c r="F2" s="20"/>
      <c r="G2" s="20"/>
      <c r="H2" s="20"/>
    </row>
    <row r="10" spans="1:7" ht="15.75">
      <c r="A10" s="6" t="s">
        <v>19</v>
      </c>
      <c r="B10" s="7" t="s">
        <v>77</v>
      </c>
      <c r="F10" s="6" t="s">
        <v>19</v>
      </c>
      <c r="G10" s="7" t="s">
        <v>80</v>
      </c>
    </row>
    <row r="12" spans="1:9" ht="14.25">
      <c r="A12" s="22"/>
      <c r="B12" s="22"/>
      <c r="C12" s="22"/>
      <c r="D12" s="22"/>
      <c r="F12" s="22"/>
      <c r="G12" s="22"/>
      <c r="H12" s="22"/>
      <c r="I12" s="22"/>
    </row>
    <row r="13" spans="1:9" ht="12.75">
      <c r="A13" s="21" t="str">
        <f>_xlfn.RTD("ESRTD",,B10,"Description")</f>
        <v>MICROSOFT CORP</v>
      </c>
      <c r="B13" s="21"/>
      <c r="C13" s="21"/>
      <c r="D13" s="21"/>
      <c r="F13" s="21" t="str">
        <f>_xlfn.RTD("ESRTD",,G10,"Description")</f>
        <v>3M CO</v>
      </c>
      <c r="G13" s="21"/>
      <c r="H13" s="21"/>
      <c r="I13" s="21"/>
    </row>
    <row r="14" spans="1:9" ht="12.75">
      <c r="A14" s="5" t="s">
        <v>21</v>
      </c>
      <c r="B14" s="4">
        <f>_xlfn.RTD("ESRTD",,B10,"Last")</f>
        <v>24.01</v>
      </c>
      <c r="C14" s="5" t="s">
        <v>34</v>
      </c>
      <c r="D14" s="12">
        <f>_xlfn.RTD("ESRTD",,B10,"Last Trade Time")</f>
        <v>40430.78622685185</v>
      </c>
      <c r="F14" s="5" t="s">
        <v>54</v>
      </c>
      <c r="G14" s="4">
        <f>_xlfn.RTD("ESRTD",,G10,"Last")</f>
        <v>82.96</v>
      </c>
      <c r="H14" s="5" t="s">
        <v>67</v>
      </c>
      <c r="I14" s="13">
        <f>_xlfn.RTD("ESRTD",,G10,"Last Trade Time")</f>
        <v>40430.72043981482</v>
      </c>
    </row>
    <row r="15" spans="1:9" ht="12.75">
      <c r="A15" s="5" t="s">
        <v>22</v>
      </c>
      <c r="B15" s="4">
        <f>_xlfn.RTD("ESRTD",,B10,"Change")</f>
        <v>0.08000000000000185</v>
      </c>
      <c r="C15" s="5" t="s">
        <v>35</v>
      </c>
      <c r="D15" s="4" t="str">
        <f>_xlfn.RTD("ESRTD",,B10,"CUSIP")</f>
        <v>594918104</v>
      </c>
      <c r="F15" s="5" t="s">
        <v>55</v>
      </c>
      <c r="G15" s="4">
        <f>_xlfn.RTD("ESRTD",,G10,"Change")</f>
        <v>0.20999999999999375</v>
      </c>
      <c r="H15" s="5" t="s">
        <v>68</v>
      </c>
      <c r="I15" s="4" t="str">
        <f>_xlfn.RTD("ESRTD",,G10,"CUSIP")</f>
        <v>88579Y101</v>
      </c>
    </row>
    <row r="16" spans="1:9" ht="12.75">
      <c r="A16" s="5" t="s">
        <v>23</v>
      </c>
      <c r="B16" s="4">
        <f>_xlfn.RTD("ESRTD",,B10,"Volume")</f>
        <v>46028831</v>
      </c>
      <c r="C16" s="5" t="s">
        <v>36</v>
      </c>
      <c r="D16" s="4" t="str">
        <f>_xlfn.RTD("ESRTD",,B10,"TradeExchange")</f>
        <v>NASD</v>
      </c>
      <c r="F16" s="5" t="s">
        <v>56</v>
      </c>
      <c r="G16" s="4">
        <f>_xlfn.RTD("ESRTD",,G10,"Volume")</f>
        <v>2473188</v>
      </c>
      <c r="H16" s="5" t="s">
        <v>69</v>
      </c>
      <c r="I16" s="4" t="str">
        <f>_xlfn.RTD("ESRTD",,G10,"TradeExchange")</f>
        <v>NYSE</v>
      </c>
    </row>
    <row r="17" spans="1:9" ht="12.75">
      <c r="A17" s="5" t="s">
        <v>24</v>
      </c>
      <c r="B17" s="4">
        <f>_xlfn.RTD("ESRTD",,B10,"PrevPrice")</f>
        <v>23.93</v>
      </c>
      <c r="C17" s="5" t="s">
        <v>37</v>
      </c>
      <c r="D17" s="4" t="str">
        <f>_xlfn.RTD("ESRTD",,B10,"BidExchange")</f>
        <v>PSE</v>
      </c>
      <c r="F17" s="5" t="s">
        <v>57</v>
      </c>
      <c r="G17" s="4">
        <f>_xlfn.RTD("ESRTD",,G10,"PrevPrice")</f>
        <v>82.75</v>
      </c>
      <c r="H17" s="5" t="s">
        <v>70</v>
      </c>
      <c r="I17" s="4" t="str">
        <f>_xlfn.RTD("ESRTD",,G10,"BidExchange")</f>
        <v>PSE</v>
      </c>
    </row>
    <row r="18" spans="1:9" ht="12.75">
      <c r="A18" s="5" t="s">
        <v>25</v>
      </c>
      <c r="B18" s="4">
        <f>_xlfn.RTD("ESRTD",,B10,"Bid")</f>
        <v>23.62</v>
      </c>
      <c r="C18" s="5" t="s">
        <v>38</v>
      </c>
      <c r="D18" s="4" t="str">
        <f>_xlfn.RTD("ESRTD",,B10,"AskExchange")</f>
        <v>PSE</v>
      </c>
      <c r="F18" s="5" t="s">
        <v>58</v>
      </c>
      <c r="G18" s="4">
        <f>_xlfn.RTD("ESRTD",,G10,"Bid")</f>
        <v>82.6</v>
      </c>
      <c r="H18" s="5" t="s">
        <v>71</v>
      </c>
      <c r="I18" s="4" t="str">
        <f>_xlfn.RTD("ESRTD",,G10,"AskExchange")</f>
        <v>PSE</v>
      </c>
    </row>
    <row r="19" spans="1:9" ht="12.75">
      <c r="A19" s="5" t="s">
        <v>26</v>
      </c>
      <c r="B19" s="4">
        <f>_xlfn.RTD("ESRTD",,B10,"Ask")</f>
        <v>24.01</v>
      </c>
      <c r="C19" s="5" t="s">
        <v>39</v>
      </c>
      <c r="D19" s="4">
        <f>_xlfn.RTD("ESRTD",,B10,"EPS")</f>
        <v>2.13</v>
      </c>
      <c r="F19" s="5" t="s">
        <v>59</v>
      </c>
      <c r="G19" s="4">
        <f>_xlfn.RTD("ESRTD",,G10,"Ask")</f>
        <v>83.27</v>
      </c>
      <c r="H19" s="5" t="s">
        <v>72</v>
      </c>
      <c r="I19" s="4">
        <f>_xlfn.RTD("ESRTD",,G10,"EPS")</f>
        <v>5.56</v>
      </c>
    </row>
    <row r="20" spans="1:9" ht="12.75">
      <c r="A20" s="5" t="s">
        <v>27</v>
      </c>
      <c r="B20" s="4">
        <f>_xlfn.RTD("ESRTD",,B10,"High")</f>
        <v>24.21</v>
      </c>
      <c r="C20" s="5" t="s">
        <v>40</v>
      </c>
      <c r="D20" s="4">
        <f>_xlfn.RTD("ESRTD",,B10,"PE")</f>
        <v>11.016</v>
      </c>
      <c r="F20" s="5" t="s">
        <v>60</v>
      </c>
      <c r="G20" s="4">
        <f>_xlfn.RTD("ESRTD",,G10,"High")</f>
        <v>84.08</v>
      </c>
      <c r="H20" s="5" t="s">
        <v>73</v>
      </c>
      <c r="I20" s="4">
        <f>_xlfn.RTD("ESRTD",,G10,"PE")</f>
        <v>14.128</v>
      </c>
    </row>
    <row r="21" spans="1:9" ht="12.75">
      <c r="A21" s="5" t="s">
        <v>28</v>
      </c>
      <c r="B21" s="4">
        <f>_xlfn.RTD("ESRTD",,B10,"Low")</f>
        <v>23.99</v>
      </c>
      <c r="C21" s="5" t="s">
        <v>41</v>
      </c>
      <c r="D21" s="4">
        <f>_xlfn.RTD("ESRTD",,B10,"BETA")</f>
        <v>1.09</v>
      </c>
      <c r="F21" s="5" t="s">
        <v>61</v>
      </c>
      <c r="G21" s="4">
        <f>_xlfn.RTD("ESRTD",,G10,"Low")</f>
        <v>82.48</v>
      </c>
      <c r="H21" s="5" t="s">
        <v>74</v>
      </c>
      <c r="I21" s="4">
        <f>_xlfn.RTD("ESRTD",,G10,"BETA")</f>
        <v>0.822</v>
      </c>
    </row>
    <row r="22" spans="1:9" ht="12.75">
      <c r="A22" s="5" t="s">
        <v>29</v>
      </c>
      <c r="B22" s="4">
        <f>_xlfn.RTD("ESRTD",,B10,"Open")</f>
        <v>24.19</v>
      </c>
      <c r="C22" s="5" t="s">
        <v>42</v>
      </c>
      <c r="D22" s="4">
        <f>_xlfn.RTD("ESRTD",,B10,"Dividend")</f>
        <v>0.13</v>
      </c>
      <c r="F22" s="5" t="s">
        <v>62</v>
      </c>
      <c r="G22" s="4">
        <f>_xlfn.RTD("ESRTD",,G10,"Open")</f>
        <v>83.92</v>
      </c>
      <c r="H22" s="5" t="s">
        <v>75</v>
      </c>
      <c r="I22" s="4">
        <f>_xlfn.RTD("ESRTD",,G10,"Dividend")</f>
        <v>0.525</v>
      </c>
    </row>
    <row r="23" spans="1:9" ht="12.75">
      <c r="A23" s="5" t="s">
        <v>30</v>
      </c>
      <c r="B23" s="4">
        <f>_xlfn.RTD("ESRTD",,B10,"TradeSize")</f>
        <v>100</v>
      </c>
      <c r="C23" s="18"/>
      <c r="D23" s="18"/>
      <c r="F23" s="5" t="s">
        <v>63</v>
      </c>
      <c r="G23" s="4">
        <f>_xlfn.RTD("ESRTD",,G10,"TradeSize")</f>
        <v>182700</v>
      </c>
      <c r="H23" s="18"/>
      <c r="I23" s="18"/>
    </row>
    <row r="24" spans="1:9" ht="12.75">
      <c r="A24" s="5" t="s">
        <v>31</v>
      </c>
      <c r="B24" s="4">
        <f>_xlfn.RTD("ESRTD",,B10,"52wkhi")</f>
        <v>31.58</v>
      </c>
      <c r="C24" s="18"/>
      <c r="D24" s="18"/>
      <c r="F24" s="5" t="s">
        <v>64</v>
      </c>
      <c r="G24" s="4">
        <f>_xlfn.RTD("ESRTD",,G10,"52wkhi")</f>
        <v>90.25</v>
      </c>
      <c r="H24" s="18"/>
      <c r="I24" s="18"/>
    </row>
    <row r="25" spans="1:9" ht="12.75">
      <c r="A25" s="5" t="s">
        <v>32</v>
      </c>
      <c r="B25" s="4">
        <f>_xlfn.RTD("ESRTD",,B10,"52wklo")</f>
        <v>22.73</v>
      </c>
      <c r="C25" s="18"/>
      <c r="D25" s="18"/>
      <c r="F25" s="5" t="s">
        <v>65</v>
      </c>
      <c r="G25" s="4">
        <f>_xlfn.RTD("ESRTD",,G10,"52wklo")</f>
        <v>71.61</v>
      </c>
      <c r="H25" s="18"/>
      <c r="I25" s="18"/>
    </row>
    <row r="26" spans="1:9" ht="12.75">
      <c r="A26" s="5" t="s">
        <v>33</v>
      </c>
      <c r="B26" s="4">
        <f>_xlfn.RTD("ESRTD",,B10,"ExtHours")</f>
        <v>24.01</v>
      </c>
      <c r="C26" s="18"/>
      <c r="D26" s="18"/>
      <c r="F26" s="5" t="s">
        <v>66</v>
      </c>
      <c r="G26" s="4">
        <f>_xlfn.RTD("ESRTD",,G10,"ExtHours")</f>
        <v>82.96</v>
      </c>
      <c r="H26" s="18"/>
      <c r="I26" s="18"/>
    </row>
    <row r="29" spans="1:2" ht="12.75">
      <c r="A29" s="16" t="s">
        <v>52</v>
      </c>
      <c r="B29" s="16"/>
    </row>
  </sheetData>
  <mergeCells count="6">
    <mergeCell ref="A1:H1"/>
    <mergeCell ref="A2:H2"/>
    <mergeCell ref="A13:D13"/>
    <mergeCell ref="A12:D12"/>
    <mergeCell ref="F13:I13"/>
    <mergeCell ref="F12:I12"/>
  </mergeCells>
  <hyperlinks>
    <hyperlink ref="A29:B29" location="'Normal Links'!A8" display="Click For Main Page"/>
  </hyperlink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3" sqref="A3"/>
    </sheetView>
  </sheetViews>
  <sheetFormatPr defaultColWidth="9.140625" defaultRowHeight="12.75"/>
  <cols>
    <col min="4" max="4" width="10.7109375" style="0" bestFit="1" customWidth="1"/>
    <col min="9" max="9" width="15.140625" style="0" customWidth="1"/>
    <col min="10" max="10" width="15.8515625" style="0" bestFit="1" customWidth="1"/>
    <col min="11" max="11" width="16.00390625" style="0" bestFit="1" customWidth="1"/>
  </cols>
  <sheetData>
    <row r="1" spans="1:9" ht="12.75">
      <c r="A1" s="20" t="s">
        <v>81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50</v>
      </c>
      <c r="B2" s="20"/>
      <c r="C2" s="20"/>
      <c r="D2" s="20"/>
      <c r="E2" s="20"/>
      <c r="F2" s="20"/>
      <c r="G2" s="20"/>
      <c r="H2" s="20"/>
      <c r="I2" s="20"/>
    </row>
    <row r="9" spans="2:10" ht="12.75">
      <c r="B9" s="2" t="s">
        <v>1</v>
      </c>
      <c r="C9" s="2" t="s">
        <v>51</v>
      </c>
      <c r="D9" s="2" t="s">
        <v>18</v>
      </c>
      <c r="E9" s="2" t="s">
        <v>15</v>
      </c>
      <c r="F9" s="2" t="s">
        <v>14</v>
      </c>
      <c r="G9" s="2" t="s">
        <v>16</v>
      </c>
      <c r="H9" s="2" t="s">
        <v>17</v>
      </c>
      <c r="I9" s="2" t="s">
        <v>3</v>
      </c>
      <c r="J9" s="2" t="s">
        <v>53</v>
      </c>
    </row>
    <row r="10" spans="1:10" ht="12.75">
      <c r="A10" s="2" t="s">
        <v>43</v>
      </c>
      <c r="B10">
        <f>_xlfn.RTD("ESRTD",,A10,B9)</f>
        <v>24.01</v>
      </c>
      <c r="C10" s="10">
        <f>_xlfn.RTD("ESRTD",,A10,C9)</f>
        <v>0.08000000000000185</v>
      </c>
      <c r="D10">
        <f>_xlfn.RTD("ESRTD",,A10,D9)</f>
        <v>24.19</v>
      </c>
      <c r="E10">
        <f>_xlfn.RTD("ESRTD",,A10,E9)</f>
        <v>23.62</v>
      </c>
      <c r="F10">
        <f>_xlfn.RTD("ESRTD",,A10,F9)</f>
        <v>24.01</v>
      </c>
      <c r="G10">
        <f>_xlfn.RTD("ESRTD",,A10,G9)</f>
        <v>24.21</v>
      </c>
      <c r="H10">
        <f>_xlfn.RTD("ESRTD",,A10,H9)</f>
        <v>23.99</v>
      </c>
      <c r="I10" s="17">
        <f>_xlfn.RTD("ESRTD",,A10,I9)</f>
        <v>46028831</v>
      </c>
      <c r="J10" s="14">
        <f>_xlfn.RTD("ESRTD",,A10,J9)</f>
        <v>40430.78622685185</v>
      </c>
    </row>
    <row r="11" spans="1:10" ht="12.75">
      <c r="A11" s="2" t="s">
        <v>44</v>
      </c>
      <c r="B11">
        <f>_xlfn.RTD("ESRTD",,A11,B9)</f>
        <v>20.59</v>
      </c>
      <c r="C11" s="10">
        <f>_xlfn.RTD("ESRTD",,A11,C9)</f>
        <v>-0.030000000000001137</v>
      </c>
      <c r="D11">
        <f>_xlfn.RTD("ESRTD",,A11,D9)</f>
        <v>20.96</v>
      </c>
      <c r="E11">
        <f>_xlfn.RTD("ESRTD",,A11,E9)</f>
        <v>20.56</v>
      </c>
      <c r="F11">
        <f>_xlfn.RTD("ESRTD",,A11,F9)</f>
        <v>20.66</v>
      </c>
      <c r="G11">
        <f>_xlfn.RTD("ESRTD",,A11,G9)</f>
        <v>21.05</v>
      </c>
      <c r="H11">
        <f>_xlfn.RTD("ESRTD",,A11,H9)</f>
        <v>20.58</v>
      </c>
      <c r="I11" s="17">
        <f>_xlfn.RTD("ESRTD",,A11,I9)</f>
        <v>43600967</v>
      </c>
      <c r="J11" s="14">
        <f>_xlfn.RTD("ESRTD",,A11,J9)</f>
        <v>40430.79087962963</v>
      </c>
    </row>
    <row r="12" spans="1:10" ht="12.75">
      <c r="A12" s="2" t="s">
        <v>45</v>
      </c>
      <c r="B12">
        <f>_xlfn.RTD("ESRTD",,A12,B9)</f>
        <v>12.35</v>
      </c>
      <c r="C12" s="10">
        <f>_xlfn.RTD("ESRTD",,A12,C9)</f>
        <v>-0.15999999999999837</v>
      </c>
      <c r="D12">
        <f>_xlfn.RTD("ESRTD",,A12,D9)</f>
        <v>12.7</v>
      </c>
      <c r="E12">
        <f>_xlfn.RTD("ESRTD",,A12,E9)</f>
        <v>12.35</v>
      </c>
      <c r="F12">
        <f>_xlfn.RTD("ESRTD",,A12,F9)</f>
        <v>12.38</v>
      </c>
      <c r="G12">
        <f>_xlfn.RTD("ESRTD",,A12,G9)</f>
        <v>12.7</v>
      </c>
      <c r="H12">
        <f>_xlfn.RTD("ESRTD",,A12,H9)</f>
        <v>12.36</v>
      </c>
      <c r="I12" s="17">
        <f>_xlfn.RTD("ESRTD",,A12,I9)</f>
        <v>18600823</v>
      </c>
      <c r="J12" s="14">
        <f>_xlfn.RTD("ESRTD",,A12,J9)</f>
        <v>40430.78939814815</v>
      </c>
    </row>
    <row r="13" spans="1:10" ht="12.75">
      <c r="A13" s="2" t="s">
        <v>46</v>
      </c>
      <c r="B13">
        <f>_xlfn.RTD("ESRTD",,A13,B9)</f>
        <v>30.2</v>
      </c>
      <c r="C13" s="10">
        <f>_xlfn.RTD("ESRTD",,A13,C9)</f>
        <v>0.00999999999999801</v>
      </c>
      <c r="D13">
        <f>_xlfn.RTD("ESRTD",,A13,D9)</f>
        <v>30.62</v>
      </c>
      <c r="E13">
        <f>_xlfn.RTD("ESRTD",,A13,E9)</f>
        <v>29.39</v>
      </c>
      <c r="F13">
        <f>_xlfn.RTD("ESRTD",,A13,F9)</f>
        <v>31.05</v>
      </c>
      <c r="G13">
        <f>_xlfn.RTD("ESRTD",,A13,G9)</f>
        <v>30.98</v>
      </c>
      <c r="H13">
        <f>_xlfn.RTD("ESRTD",,A13,H9)</f>
        <v>30.15</v>
      </c>
      <c r="I13" s="17">
        <f>_xlfn.RTD("ESRTD",,A13,I9)</f>
        <v>10175807</v>
      </c>
      <c r="J13" s="14">
        <f>_xlfn.RTD("ESRTD",,A13,J9)</f>
        <v>40430.709965277776</v>
      </c>
    </row>
    <row r="14" spans="1:11" ht="12.75">
      <c r="A14" s="2" t="s">
        <v>47</v>
      </c>
      <c r="B14">
        <f>_xlfn.RTD("ESRTD",,A14,B9)</f>
        <v>20.91</v>
      </c>
      <c r="C14" s="10">
        <f>_xlfn.RTD("ESRTD",,A14,C9)</f>
        <v>-0.21000000000000085</v>
      </c>
      <c r="D14">
        <f>_xlfn.RTD("ESRTD",,A14,D9)</f>
        <v>21.42</v>
      </c>
      <c r="E14">
        <f>_xlfn.RTD("ESRTD",,A14,E9)</f>
        <v>20.83</v>
      </c>
      <c r="F14">
        <f>_xlfn.RTD("ESRTD",,A14,F9)</f>
        <v>20.94</v>
      </c>
      <c r="G14">
        <f>_xlfn.RTD("ESRTD",,A14,G9)</f>
        <v>21.43</v>
      </c>
      <c r="H14">
        <f>_xlfn.RTD("ESRTD",,A14,H9)</f>
        <v>20.84</v>
      </c>
      <c r="I14" s="17">
        <f>_xlfn.RTD("ESRTD",,A14,I9)</f>
        <v>8917785</v>
      </c>
      <c r="J14" s="14">
        <f>_xlfn.RTD("ESRTD",,A14,J9)</f>
        <v>40430.74731481481</v>
      </c>
      <c r="K14" s="19"/>
    </row>
    <row r="15" spans="1:10" ht="12.75">
      <c r="A15" s="2" t="s">
        <v>48</v>
      </c>
      <c r="B15">
        <f>_xlfn.RTD("ESRTD",,A15,B9)</f>
        <v>39.86</v>
      </c>
      <c r="C15" s="10">
        <f>_xlfn.RTD("ESRTD",,A15,C9)</f>
        <v>0.04999999999999716</v>
      </c>
      <c r="D15">
        <f>_xlfn.RTD("ESRTD",,A15,D9)</f>
        <v>40.47</v>
      </c>
      <c r="E15">
        <f>_xlfn.RTD("ESRTD",,A15,E9)</f>
        <v>39.08</v>
      </c>
      <c r="F15">
        <f>_xlfn.RTD("ESRTD",,A15,F9)</f>
        <v>40.58</v>
      </c>
      <c r="G15">
        <f>_xlfn.RTD("ESRTD",,A15,G9)</f>
        <v>40.59</v>
      </c>
      <c r="H15">
        <f>_xlfn.RTD("ESRTD",,A15,H9)</f>
        <v>39.5675</v>
      </c>
      <c r="I15" s="17">
        <f>_xlfn.RTD("ESRTD",,A15,I9)</f>
        <v>2142456</v>
      </c>
      <c r="J15" s="14">
        <f>_xlfn.RTD("ESRTD",,A15,J9)</f>
        <v>40430.64262731482</v>
      </c>
    </row>
    <row r="18" spans="1:2" ht="12.75">
      <c r="A18" s="16" t="s">
        <v>52</v>
      </c>
      <c r="B18" s="16"/>
    </row>
  </sheetData>
  <mergeCells count="2">
    <mergeCell ref="A1:I1"/>
    <mergeCell ref="A2:I2"/>
  </mergeCells>
  <hyperlinks>
    <hyperlink ref="A18:B18" location="'Normal Links'!A8" display="Click For Main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3" sqref="A3"/>
    </sheetView>
  </sheetViews>
  <sheetFormatPr defaultColWidth="9.140625" defaultRowHeight="12.75"/>
  <cols>
    <col min="5" max="5" width="12.7109375" style="0" bestFit="1" customWidth="1"/>
  </cols>
  <sheetData>
    <row r="1" spans="1:14" ht="12.7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15"/>
      <c r="K1" s="15"/>
      <c r="L1" s="15"/>
      <c r="M1" s="15"/>
      <c r="N1" s="15"/>
    </row>
    <row r="2" spans="1:14" ht="12.75">
      <c r="A2" s="20" t="s">
        <v>82</v>
      </c>
      <c r="B2" s="20"/>
      <c r="C2" s="20"/>
      <c r="D2" s="20"/>
      <c r="E2" s="20"/>
      <c r="F2" s="20"/>
      <c r="G2" s="20"/>
      <c r="H2" s="20"/>
      <c r="I2" s="15"/>
      <c r="J2" s="15"/>
      <c r="K2" s="15"/>
      <c r="L2" s="15"/>
      <c r="M2" s="15"/>
      <c r="N2" s="15"/>
    </row>
    <row r="3" spans="1:14" ht="12.75">
      <c r="A3" s="9"/>
      <c r="B3" s="9"/>
      <c r="C3" s="9"/>
      <c r="D3" s="9"/>
      <c r="E3" s="9"/>
      <c r="F3" s="9"/>
      <c r="G3" s="9"/>
      <c r="H3" s="9"/>
      <c r="I3" s="15"/>
      <c r="J3" s="15"/>
      <c r="K3" s="15"/>
      <c r="L3" s="15"/>
      <c r="M3" s="15"/>
      <c r="N3" s="15"/>
    </row>
    <row r="4" spans="1:8" ht="12.75">
      <c r="A4" s="20" t="s">
        <v>79</v>
      </c>
      <c r="B4" s="20"/>
      <c r="C4" s="20"/>
      <c r="D4" s="20"/>
      <c r="E4" s="20"/>
      <c r="F4" s="20"/>
      <c r="G4" s="20"/>
      <c r="H4" s="20"/>
    </row>
    <row r="7" spans="2:5" ht="12.75">
      <c r="B7" t="s">
        <v>0</v>
      </c>
      <c r="C7" t="s">
        <v>1</v>
      </c>
      <c r="D7" t="s">
        <v>2</v>
      </c>
      <c r="E7" t="s">
        <v>3</v>
      </c>
    </row>
    <row r="8" spans="2:5" ht="12.75">
      <c r="B8" t="str">
        <f>B11</f>
        <v>msft</v>
      </c>
      <c r="C8">
        <f>_xlfn.RTD("ESRTD",,B8,"Last")</f>
        <v>24.01</v>
      </c>
      <c r="D8">
        <f>_xlfn.RTD("ESRTD",,B8,"Change")</f>
        <v>0.08000000000000185</v>
      </c>
      <c r="E8" s="17">
        <f>_xlfn.RTD("ESRTD",,B8,"Volume")</f>
        <v>46028831</v>
      </c>
    </row>
    <row r="11" spans="1:2" ht="12.75">
      <c r="A11" s="3" t="s">
        <v>76</v>
      </c>
      <c r="B11" s="2" t="s">
        <v>77</v>
      </c>
    </row>
    <row r="13" spans="1:2" ht="12.75">
      <c r="A13" s="16" t="s">
        <v>52</v>
      </c>
      <c r="B13" s="16"/>
    </row>
  </sheetData>
  <mergeCells count="3">
    <mergeCell ref="A4:H4"/>
    <mergeCell ref="A1:I1"/>
    <mergeCell ref="A2:H2"/>
  </mergeCells>
  <hyperlinks>
    <hyperlink ref="A13:B13" location="'Normal Links'!A8" display="Click For Main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eSignal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Home</cp:lastModifiedBy>
  <dcterms:created xsi:type="dcterms:W3CDTF">2009-03-30T21:55:08Z</dcterms:created>
  <dcterms:modified xsi:type="dcterms:W3CDTF">2010-09-10T01:07:29Z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